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275" windowWidth="7530" windowHeight="4380" activeTab="1"/>
  </bookViews>
  <sheets>
    <sheet name="Adress" sheetId="1" r:id="rId1"/>
    <sheet name="расчет" sheetId="2" r:id="rId2"/>
    <sheet name="диаграммы" sheetId="3" r:id="rId3"/>
    <sheet name="СХЕМА" sheetId="4" r:id="rId4"/>
  </sheets>
  <definedNames/>
  <calcPr fullCalcOnLoad="1"/>
</workbook>
</file>

<file path=xl/sharedStrings.xml><?xml version="1.0" encoding="utf-8"?>
<sst xmlns="http://schemas.openxmlformats.org/spreadsheetml/2006/main" count="286" uniqueCount="280">
  <si>
    <r>
      <t>φ</t>
    </r>
    <r>
      <rPr>
        <sz val="6"/>
        <rFont val="Arial Cyr"/>
        <family val="0"/>
      </rPr>
      <t>0</t>
    </r>
    <r>
      <rPr>
        <sz val="10"/>
        <rFont val="Arial Cyr"/>
        <family val="0"/>
      </rPr>
      <t>˚ =</t>
    </r>
  </si>
  <si>
    <t>Δφ˚ =</t>
  </si>
  <si>
    <t>L1 =</t>
  </si>
  <si>
    <t>L2 =</t>
  </si>
  <si>
    <t>L3 =</t>
  </si>
  <si>
    <t>L4 =</t>
  </si>
  <si>
    <t>L5 =</t>
  </si>
  <si>
    <t>αA =</t>
  </si>
  <si>
    <t>βA =</t>
  </si>
  <si>
    <t>αB =</t>
  </si>
  <si>
    <t>βB =</t>
  </si>
  <si>
    <t>a =</t>
  </si>
  <si>
    <t>b =</t>
  </si>
  <si>
    <r>
      <t>φ</t>
    </r>
    <r>
      <rPr>
        <sz val="6"/>
        <rFont val="Arial Cyr"/>
        <family val="0"/>
      </rPr>
      <t>t</t>
    </r>
    <r>
      <rPr>
        <sz val="10"/>
        <rFont val="Arial Cyr"/>
        <family val="0"/>
      </rPr>
      <t xml:space="preserve"> =</t>
    </r>
  </si>
  <si>
    <r>
      <t>φ</t>
    </r>
    <r>
      <rPr>
        <sz val="6"/>
        <rFont val="Arial Cyr"/>
        <family val="0"/>
      </rPr>
      <t>i</t>
    </r>
    <r>
      <rPr>
        <sz val="10"/>
        <rFont val="Arial Cyr"/>
        <family val="0"/>
      </rPr>
      <t>˚ =</t>
    </r>
  </si>
  <si>
    <r>
      <t>φ</t>
    </r>
    <r>
      <rPr>
        <sz val="6"/>
        <rFont val="Arial Cyr"/>
        <family val="0"/>
      </rPr>
      <t>i</t>
    </r>
    <r>
      <rPr>
        <sz val="10"/>
        <rFont val="Arial Cyr"/>
        <family val="0"/>
      </rPr>
      <t>-φ</t>
    </r>
    <r>
      <rPr>
        <sz val="6"/>
        <rFont val="Arial Cyr"/>
        <family val="0"/>
      </rPr>
      <t>0</t>
    </r>
  </si>
  <si>
    <t>xA =</t>
  </si>
  <si>
    <t>yA =</t>
  </si>
  <si>
    <t>xAt =</t>
  </si>
  <si>
    <t>yAt =</t>
  </si>
  <si>
    <t>xAtt =</t>
  </si>
  <si>
    <t>yAtt =</t>
  </si>
  <si>
    <t>φtt =</t>
  </si>
  <si>
    <t>P =</t>
  </si>
  <si>
    <t>Q =</t>
  </si>
  <si>
    <t>z =</t>
  </si>
  <si>
    <t>Д =</t>
  </si>
  <si>
    <t>F =</t>
  </si>
  <si>
    <t>Ψ =</t>
  </si>
  <si>
    <t>ξ =</t>
  </si>
  <si>
    <t>Δt =</t>
  </si>
  <si>
    <r>
      <t>sin(φi-φ</t>
    </r>
    <r>
      <rPr>
        <sz val="6"/>
        <rFont val="Arial Cyr"/>
        <family val="0"/>
      </rPr>
      <t>0</t>
    </r>
    <r>
      <rPr>
        <sz val="10"/>
        <rFont val="Arial Cyr"/>
        <family val="0"/>
      </rPr>
      <t>)</t>
    </r>
  </si>
  <si>
    <r>
      <t>cos(φi-φ</t>
    </r>
    <r>
      <rPr>
        <sz val="6"/>
        <rFont val="Arial Cyr"/>
        <family val="0"/>
      </rPr>
      <t>0</t>
    </r>
    <r>
      <rPr>
        <sz val="10"/>
        <rFont val="Arial Cyr"/>
        <family val="0"/>
      </rPr>
      <t>)</t>
    </r>
  </si>
  <si>
    <t>Ψt =</t>
  </si>
  <si>
    <t>ξt =</t>
  </si>
  <si>
    <r>
      <t>φ</t>
    </r>
    <r>
      <rPr>
        <sz val="6"/>
        <rFont val="Arial Cyr"/>
        <family val="0"/>
      </rPr>
      <t>irad</t>
    </r>
    <r>
      <rPr>
        <sz val="10"/>
        <rFont val="Arial Cyr"/>
        <family val="0"/>
      </rPr>
      <t xml:space="preserve"> =</t>
    </r>
  </si>
  <si>
    <r>
      <t>f</t>
    </r>
    <r>
      <rPr>
        <sz val="6"/>
        <rFont val="Arial Cyr"/>
        <family val="0"/>
      </rPr>
      <t>1</t>
    </r>
    <r>
      <rPr>
        <sz val="10"/>
        <rFont val="Arial Cyr"/>
        <family val="0"/>
      </rPr>
      <t xml:space="preserve"> =</t>
    </r>
  </si>
  <si>
    <r>
      <t>f</t>
    </r>
    <r>
      <rPr>
        <sz val="6"/>
        <rFont val="Arial Cyr"/>
        <family val="0"/>
      </rPr>
      <t>2</t>
    </r>
    <r>
      <rPr>
        <sz val="10"/>
        <rFont val="Arial Cyr"/>
        <family val="0"/>
      </rPr>
      <t xml:space="preserve"> =</t>
    </r>
  </si>
  <si>
    <t>Ψtt =</t>
  </si>
  <si>
    <t>ξtt =</t>
  </si>
  <si>
    <t>xB =</t>
  </si>
  <si>
    <t>yB =</t>
  </si>
  <si>
    <t>xBt =</t>
  </si>
  <si>
    <t>yBt =</t>
  </si>
  <si>
    <t>xBtt =</t>
  </si>
  <si>
    <t>yBtt =</t>
  </si>
  <si>
    <t>αD =</t>
  </si>
  <si>
    <t>βD =</t>
  </si>
  <si>
    <t>xD =</t>
  </si>
  <si>
    <t>yD =</t>
  </si>
  <si>
    <t>xDt =</t>
  </si>
  <si>
    <t>yDt =</t>
  </si>
  <si>
    <t>xDtt =</t>
  </si>
  <si>
    <t>yDtt =</t>
  </si>
  <si>
    <t>Ψгр =</t>
  </si>
  <si>
    <t>ξгр =</t>
  </si>
  <si>
    <t>Временные параметры</t>
  </si>
  <si>
    <t>Кривошип ОА</t>
  </si>
  <si>
    <t>Точка В</t>
  </si>
  <si>
    <t>Точка D</t>
  </si>
  <si>
    <t>Определение углов, угловых скоростей и ускорений шатуна 1и коромысла О1В.</t>
  </si>
  <si>
    <r>
      <t>φ</t>
    </r>
    <r>
      <rPr>
        <sz val="6"/>
        <rFont val="Arial Cyr"/>
        <family val="0"/>
      </rPr>
      <t>t 0</t>
    </r>
    <r>
      <rPr>
        <sz val="10"/>
        <rFont val="Arial Cyr"/>
        <family val="0"/>
      </rPr>
      <t xml:space="preserve"> =</t>
    </r>
  </si>
  <si>
    <t>ЕГОРОВ А.С. ГГ-1-01</t>
  </si>
  <si>
    <t>a1=</t>
  </si>
  <si>
    <t>Ω=</t>
  </si>
  <si>
    <t>b1=</t>
  </si>
  <si>
    <t>βF=</t>
  </si>
  <si>
    <t>αF=</t>
  </si>
  <si>
    <r>
      <t>L</t>
    </r>
    <r>
      <rPr>
        <vertAlign val="subscript"/>
        <sz val="8"/>
        <rFont val="Arial Cyr"/>
        <family val="0"/>
      </rPr>
      <t>T</t>
    </r>
    <r>
      <rPr>
        <sz val="10"/>
        <rFont val="Arial Cyr"/>
        <family val="0"/>
      </rPr>
      <t>=</t>
    </r>
  </si>
  <si>
    <t>θ=</t>
  </si>
  <si>
    <t>Ω+ξ</t>
  </si>
  <si>
    <r>
      <t>(xD-a1)</t>
    </r>
    <r>
      <rPr>
        <vertAlign val="superscript"/>
        <sz val="8"/>
        <rFont val="Arial Cyr"/>
        <family val="0"/>
      </rPr>
      <t>2</t>
    </r>
  </si>
  <si>
    <r>
      <t>(yD-b1)</t>
    </r>
    <r>
      <rPr>
        <vertAlign val="superscript"/>
        <sz val="8"/>
        <rFont val="Arial Cyr"/>
        <family val="0"/>
      </rPr>
      <t>2</t>
    </r>
  </si>
  <si>
    <t>Вычисление углов, угловых скоростей и ускорений ползушки</t>
  </si>
  <si>
    <t>А=</t>
  </si>
  <si>
    <t>B=</t>
  </si>
  <si>
    <t>θt</t>
  </si>
  <si>
    <t>θtt</t>
  </si>
  <si>
    <t>Центры масс</t>
  </si>
  <si>
    <t>xC1 =</t>
  </si>
  <si>
    <t>yC1 =</t>
  </si>
  <si>
    <t>xC1t =</t>
  </si>
  <si>
    <t>yC1t =</t>
  </si>
  <si>
    <t>xC1tt =</t>
  </si>
  <si>
    <t>yC1tt =</t>
  </si>
  <si>
    <t>xC2 =</t>
  </si>
  <si>
    <t>yC2 =</t>
  </si>
  <si>
    <t>xC2t =</t>
  </si>
  <si>
    <t>yC2t =</t>
  </si>
  <si>
    <t>xC2tt =</t>
  </si>
  <si>
    <t>yC2tt =</t>
  </si>
  <si>
    <t>xC3 =</t>
  </si>
  <si>
    <t>yC3 =</t>
  </si>
  <si>
    <t>xC3t =</t>
  </si>
  <si>
    <t>yC3t =</t>
  </si>
  <si>
    <t>xC3tt =</t>
  </si>
  <si>
    <t>yC3tt =</t>
  </si>
  <si>
    <r>
      <t>Сα</t>
    </r>
    <r>
      <rPr>
        <sz val="10"/>
        <rFont val="Arial Cyr"/>
        <family val="0"/>
      </rPr>
      <t>1 =</t>
    </r>
  </si>
  <si>
    <r>
      <t>Сα2</t>
    </r>
    <r>
      <rPr>
        <sz val="10"/>
        <rFont val="Arial Cyr"/>
        <family val="0"/>
      </rPr>
      <t xml:space="preserve"> =</t>
    </r>
  </si>
  <si>
    <r>
      <t>Сα3</t>
    </r>
    <r>
      <rPr>
        <sz val="10"/>
        <rFont val="Arial Cyr"/>
        <family val="0"/>
      </rPr>
      <t xml:space="preserve"> =</t>
    </r>
  </si>
  <si>
    <r>
      <t>Сα5</t>
    </r>
    <r>
      <rPr>
        <sz val="10"/>
        <rFont val="Arial Cyr"/>
        <family val="0"/>
      </rPr>
      <t xml:space="preserve"> =</t>
    </r>
  </si>
  <si>
    <r>
      <t>Сα6</t>
    </r>
    <r>
      <rPr>
        <sz val="10"/>
        <rFont val="Arial Cyr"/>
        <family val="0"/>
      </rPr>
      <t>=</t>
    </r>
  </si>
  <si>
    <t>Сβ1</t>
  </si>
  <si>
    <t>Сβ2</t>
  </si>
  <si>
    <t>Сβ3</t>
  </si>
  <si>
    <t>Сβ5</t>
  </si>
  <si>
    <t>Сβ6</t>
  </si>
  <si>
    <t>Шатун АВ</t>
  </si>
  <si>
    <t>Коромыслo О1В</t>
  </si>
  <si>
    <t>xC5 =</t>
  </si>
  <si>
    <t>yC5 =</t>
  </si>
  <si>
    <t>xC5t =</t>
  </si>
  <si>
    <t>yC5t =</t>
  </si>
  <si>
    <t>xC5tt =</t>
  </si>
  <si>
    <t>yC5tt =</t>
  </si>
  <si>
    <t>xC6 =</t>
  </si>
  <si>
    <t>yC6 =</t>
  </si>
  <si>
    <t>xC6t =</t>
  </si>
  <si>
    <t>yC6t =</t>
  </si>
  <si>
    <t>xC6tt =</t>
  </si>
  <si>
    <t>yC6tt =</t>
  </si>
  <si>
    <t>Ползушка DK</t>
  </si>
  <si>
    <t xml:space="preserve">                                                                                  Точка К</t>
  </si>
  <si>
    <t>xК =</t>
  </si>
  <si>
    <t>yК =</t>
  </si>
  <si>
    <t>xКt =</t>
  </si>
  <si>
    <t>yКt =</t>
  </si>
  <si>
    <t>xКtt =</t>
  </si>
  <si>
    <t>yКtt =</t>
  </si>
  <si>
    <t>αК =</t>
  </si>
  <si>
    <t>βК =</t>
  </si>
  <si>
    <t>Энергетический анализ</t>
  </si>
  <si>
    <t>Ek1 =</t>
  </si>
  <si>
    <t>Fx1 =</t>
  </si>
  <si>
    <t>Fy1 =</t>
  </si>
  <si>
    <t>M1 =</t>
  </si>
  <si>
    <t>Wk1 =</t>
  </si>
  <si>
    <t>Wp1 =</t>
  </si>
  <si>
    <t>Ek2 =</t>
  </si>
  <si>
    <t>Fx2 =</t>
  </si>
  <si>
    <t>Fy2 =</t>
  </si>
  <si>
    <t>M2 =</t>
  </si>
  <si>
    <t>Wk2 =</t>
  </si>
  <si>
    <t>Wp2 =</t>
  </si>
  <si>
    <t>Ek3 =</t>
  </si>
  <si>
    <t>Fx3 =</t>
  </si>
  <si>
    <t>Fy3 =</t>
  </si>
  <si>
    <t>M3 =</t>
  </si>
  <si>
    <t>Wk3 =</t>
  </si>
  <si>
    <t>Wp3 =</t>
  </si>
  <si>
    <t>Ek5 =</t>
  </si>
  <si>
    <t>Fx5 =</t>
  </si>
  <si>
    <t>Fy5 =</t>
  </si>
  <si>
    <t>M5 =</t>
  </si>
  <si>
    <t>Wk5 =</t>
  </si>
  <si>
    <t>Wp5 =</t>
  </si>
  <si>
    <t>Ek6 =</t>
  </si>
  <si>
    <t>Fx6 =</t>
  </si>
  <si>
    <t>Fy6 =</t>
  </si>
  <si>
    <t>M6 =</t>
  </si>
  <si>
    <t>Wk6 =</t>
  </si>
  <si>
    <t>Wp6 =</t>
  </si>
  <si>
    <t>Mhh=</t>
  </si>
  <si>
    <t>m1 =</t>
  </si>
  <si>
    <t>J1 =</t>
  </si>
  <si>
    <t>m2 =</t>
  </si>
  <si>
    <t>J2 =</t>
  </si>
  <si>
    <t>m3 =</t>
  </si>
  <si>
    <t>J3 =</t>
  </si>
  <si>
    <t>m5 =</t>
  </si>
  <si>
    <t>J5 =</t>
  </si>
  <si>
    <t>m6 =</t>
  </si>
  <si>
    <t>J6 =</t>
  </si>
  <si>
    <t>Wk6 числ=</t>
  </si>
  <si>
    <t>xC6-1 =</t>
  </si>
  <si>
    <t>(T)xтехн=</t>
  </si>
  <si>
    <t>(T)yтехн=</t>
  </si>
  <si>
    <t>Силовой анализ</t>
  </si>
  <si>
    <t>mg=</t>
  </si>
  <si>
    <t>(Qx)B=</t>
  </si>
  <si>
    <t>(Qy)B=</t>
  </si>
  <si>
    <t>(Qx)D=</t>
  </si>
  <si>
    <t>(Qy)D=</t>
  </si>
  <si>
    <t>(M)D=</t>
  </si>
  <si>
    <t>(M)B=</t>
  </si>
  <si>
    <t>(M)D1=</t>
  </si>
  <si>
    <t>ШатунAB</t>
  </si>
  <si>
    <t>(M)B1=</t>
  </si>
  <si>
    <t>(Qx)A=</t>
  </si>
  <si>
    <t>(Qy)A=</t>
  </si>
  <si>
    <t>(M)A=</t>
  </si>
  <si>
    <t>КривошипОА</t>
  </si>
  <si>
    <t>(M)A1=</t>
  </si>
  <si>
    <t>(M)О=</t>
  </si>
  <si>
    <t>xBп =</t>
  </si>
  <si>
    <t>yBп =</t>
  </si>
  <si>
    <t>xBtп =</t>
  </si>
  <si>
    <t>yBtп=</t>
  </si>
  <si>
    <t>xBttп =</t>
  </si>
  <si>
    <t>yBttп =</t>
  </si>
  <si>
    <t>xD -3=</t>
  </si>
  <si>
    <t>(yd-yk)^2</t>
  </si>
  <si>
    <t>L6</t>
  </si>
  <si>
    <t>Teta)tt chisl</t>
  </si>
  <si>
    <t>ξ-2 =</t>
  </si>
  <si>
    <t>Ψ-1 =</t>
  </si>
  <si>
    <t>Через О1</t>
  </si>
  <si>
    <t>L(BD)^2-=</t>
  </si>
  <si>
    <t>L(BD)o^2=</t>
  </si>
  <si>
    <t>L(kd)=</t>
  </si>
  <si>
    <t>SumWp</t>
  </si>
  <si>
    <t>SumWk</t>
  </si>
  <si>
    <t>SumWob</t>
  </si>
  <si>
    <t>N=A^2</t>
  </si>
  <si>
    <t>P=B^2</t>
  </si>
  <si>
    <t>Teta)t chisl</t>
  </si>
  <si>
    <t>Radian(B4)=</t>
  </si>
  <si>
    <t>θt1=</t>
  </si>
  <si>
    <t>θtt1=</t>
  </si>
  <si>
    <t>θtt2=</t>
  </si>
  <si>
    <t>θttOld=</t>
  </si>
  <si>
    <t>Коромыслo KО2D</t>
  </si>
  <si>
    <t>Pr-ka6</t>
  </si>
  <si>
    <t>Shatun DK</t>
  </si>
  <si>
    <t>(mg)6=</t>
  </si>
  <si>
    <t>(mg)3=</t>
  </si>
  <si>
    <t>Pr-ka6+3</t>
  </si>
  <si>
    <t>Коромысло BDO1</t>
  </si>
  <si>
    <t>(mg)2=</t>
  </si>
  <si>
    <t>Pr-ka6+3+2</t>
  </si>
  <si>
    <t>(mg)1=</t>
  </si>
  <si>
    <t>Proverka=</t>
  </si>
  <si>
    <t>(Nx)О=</t>
  </si>
  <si>
    <t>(Ny)О=</t>
  </si>
  <si>
    <t>g=</t>
  </si>
  <si>
    <t>I10</t>
  </si>
  <si>
    <t>A</t>
  </si>
  <si>
    <t>B</t>
  </si>
  <si>
    <t>D</t>
  </si>
  <si>
    <t>K</t>
  </si>
  <si>
    <t>C1</t>
  </si>
  <si>
    <t>C2</t>
  </si>
  <si>
    <t>C3</t>
  </si>
  <si>
    <t>C5</t>
  </si>
  <si>
    <t>C6</t>
  </si>
  <si>
    <t>m</t>
  </si>
  <si>
    <t>J</t>
  </si>
  <si>
    <t>m3</t>
  </si>
  <si>
    <t>m4</t>
  </si>
  <si>
    <t>m5</t>
  </si>
  <si>
    <t>m6</t>
  </si>
  <si>
    <t>m7</t>
  </si>
  <si>
    <t>O5</t>
  </si>
  <si>
    <t>O7</t>
  </si>
  <si>
    <t>O6</t>
  </si>
  <si>
    <t>O3</t>
  </si>
  <si>
    <t>O4</t>
  </si>
  <si>
    <t>X</t>
  </si>
  <si>
    <t>Y</t>
  </si>
  <si>
    <t>XT</t>
  </si>
  <si>
    <t>YT</t>
  </si>
  <si>
    <t>XTT</t>
  </si>
  <si>
    <t>YTT</t>
  </si>
  <si>
    <t>Qx</t>
  </si>
  <si>
    <t>Qy</t>
  </si>
  <si>
    <t>M</t>
  </si>
  <si>
    <t>Wk</t>
  </si>
  <si>
    <t>Wp</t>
  </si>
  <si>
    <t>Wsum</t>
  </si>
  <si>
    <t>ug</t>
  </si>
  <si>
    <t>ugt</t>
  </si>
  <si>
    <t>ugtt</t>
  </si>
  <si>
    <t>fi</t>
  </si>
  <si>
    <t>psi</t>
  </si>
  <si>
    <t>ksi</t>
  </si>
  <si>
    <t>teta</t>
  </si>
  <si>
    <t>b6</t>
  </si>
  <si>
    <t>O</t>
  </si>
  <si>
    <t>M drugoy</t>
  </si>
  <si>
    <t>Itogo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</si>
</sst>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vertAlign val="subscript"/>
      <sz val="8"/>
      <name val="Arial Cyr"/>
      <family val="0"/>
    </font>
    <font>
      <vertAlign val="superscript"/>
      <sz val="8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2" xfId="0" applyNumberForma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 horizontal="right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/>
    </xf>
    <xf numFmtId="2" fontId="6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6" fillId="0" borderId="2" xfId="0" applyFont="1" applyFill="1" applyBorder="1" applyAlignment="1">
      <alignment/>
    </xf>
    <xf numFmtId="2" fontId="0" fillId="0" borderId="0" xfId="0" applyNumberFormat="1" applyFill="1" applyAlignment="1">
      <alignment horizontal="right"/>
    </xf>
    <xf numFmtId="0" fontId="9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6" fillId="2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расчет!$A$184</c:f>
              <c:strCache>
                <c:ptCount val="1"/>
                <c:pt idx="0">
                  <c:v>Mhh=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расчет!$B$184:$IV$184</c:f>
              <c:numCache>
                <c:ptCount val="25"/>
                <c:pt idx="0">
                  <c:v>20.159751453500903</c:v>
                </c:pt>
                <c:pt idx="1">
                  <c:v>17.889550005732172</c:v>
                </c:pt>
                <c:pt idx="2">
                  <c:v>14.124696657270482</c:v>
                </c:pt>
                <c:pt idx="3">
                  <c:v>9.275075529991081</c:v>
                </c:pt>
                <c:pt idx="4">
                  <c:v>3.772388222854403</c:v>
                </c:pt>
                <c:pt idx="5">
                  <c:v>-1.9356144182101365</c:v>
                </c:pt>
                <c:pt idx="6">
                  <c:v>-7.3645889029770535</c:v>
                </c:pt>
                <c:pt idx="7">
                  <c:v>-12.014684994797122</c:v>
                </c:pt>
                <c:pt idx="8">
                  <c:v>-15.457127285943775</c:v>
                </c:pt>
                <c:pt idx="9">
                  <c:v>-17.46352258969605</c:v>
                </c:pt>
                <c:pt idx="10">
                  <c:v>-18.103360308008664</c:v>
                </c:pt>
                <c:pt idx="11">
                  <c:v>-17.68763115382973</c:v>
                </c:pt>
                <c:pt idx="12">
                  <c:v>-16.515213035763626</c:v>
                </c:pt>
                <c:pt idx="13">
                  <c:v>-14.644727888040823</c:v>
                </c:pt>
                <c:pt idx="14">
                  <c:v>-11.98062501528491</c:v>
                </c:pt>
                <c:pt idx="15">
                  <c:v>-8.544400596172554</c:v>
                </c:pt>
                <c:pt idx="16">
                  <c:v>-4.561594224612276</c:v>
                </c:pt>
                <c:pt idx="17">
                  <c:v>-0.314870392192222</c:v>
                </c:pt>
                <c:pt idx="18">
                  <c:v>4.016483041144386</c:v>
                </c:pt>
                <c:pt idx="19">
                  <c:v>8.363733894074667</c:v>
                </c:pt>
                <c:pt idx="20">
                  <c:v>12.614012041214846</c:v>
                </c:pt>
                <c:pt idx="21">
                  <c:v>16.438908919684373</c:v>
                </c:pt>
                <c:pt idx="22">
                  <c:v>19.296700102020985</c:v>
                </c:pt>
                <c:pt idx="23">
                  <c:v>20.639700940877464</c:v>
                </c:pt>
                <c:pt idx="24">
                  <c:v>20.159751453500903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расчет!$A$214</c:f>
              <c:strCache>
                <c:ptCount val="1"/>
                <c:pt idx="0">
                  <c:v>(M)О=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расчет!$B$214:$IV$214</c:f>
              <c:numCache>
                <c:ptCount val="25"/>
                <c:pt idx="0">
                  <c:v>20.219688706805005</c:v>
                </c:pt>
                <c:pt idx="1">
                  <c:v>17.957708402304682</c:v>
                </c:pt>
                <c:pt idx="2">
                  <c:v>14.174963494608551</c:v>
                </c:pt>
                <c:pt idx="3">
                  <c:v>9.291650121576694</c:v>
                </c:pt>
                <c:pt idx="4">
                  <c:v>3.7509113609562252</c:v>
                </c:pt>
                <c:pt idx="5">
                  <c:v>-1.9884914162624012</c:v>
                </c:pt>
                <c:pt idx="6">
                  <c:v>-7.432346059905711</c:v>
                </c:pt>
                <c:pt idx="7">
                  <c:v>-12.07209294492213</c:v>
                </c:pt>
                <c:pt idx="8">
                  <c:v>-15.471656109960911</c:v>
                </c:pt>
                <c:pt idx="9">
                  <c:v>-17.399005686555796</c:v>
                </c:pt>
                <c:pt idx="10">
                  <c:v>-17.92982937279563</c:v>
                </c:pt>
                <c:pt idx="11">
                  <c:v>-17.39982697023899</c:v>
                </c:pt>
                <c:pt idx="12">
                  <c:v>-16.152269656915337</c:v>
                </c:pt>
                <c:pt idx="13">
                  <c:v>-14.290790717115986</c:v>
                </c:pt>
                <c:pt idx="14">
                  <c:v>-11.734346360098876</c:v>
                </c:pt>
                <c:pt idx="15">
                  <c:v>-8.475570012130138</c:v>
                </c:pt>
                <c:pt idx="16">
                  <c:v>-4.684534892428135</c:v>
                </c:pt>
                <c:pt idx="17">
                  <c:v>-0.5885456298052025</c:v>
                </c:pt>
                <c:pt idx="18">
                  <c:v>3.6690650640927096</c:v>
                </c:pt>
                <c:pt idx="19">
                  <c:v>8.026853487735613</c:v>
                </c:pt>
                <c:pt idx="20">
                  <c:v>12.351999359922372</c:v>
                </c:pt>
                <c:pt idx="21">
                  <c:v>16.28133713939077</c:v>
                </c:pt>
                <c:pt idx="22">
                  <c:v>19.23987739370243</c:v>
                </c:pt>
                <c:pt idx="23">
                  <c:v>20.658291300876996</c:v>
                </c:pt>
                <c:pt idx="24">
                  <c:v>20.219688706805</c:v>
                </c:pt>
              </c:numCache>
            </c:numRef>
          </c:val>
          <c:smooth val="0"/>
        </c:ser>
        <c:marker val="1"/>
        <c:axId val="10462848"/>
        <c:axId val="27056769"/>
      </c:lineChart>
      <c:catAx>
        <c:axId val="1046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56769"/>
        <c:crosses val="autoZero"/>
        <c:auto val="1"/>
        <c:lblOffset val="100"/>
        <c:noMultiLvlLbl val="0"/>
      </c:catAx>
      <c:valAx>
        <c:axId val="27056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6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37"/>
          <c:w val="0.8062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расчет!$A$184</c:f>
              <c:strCache>
                <c:ptCount val="1"/>
                <c:pt idx="0">
                  <c:v>Mhh=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расчет!$B$184:$IV$184</c:f>
              <c:numCache>
                <c:ptCount val="25"/>
                <c:pt idx="0">
                  <c:v>-0.8648023785513244</c:v>
                </c:pt>
                <c:pt idx="1">
                  <c:v>-1.0945913992316818</c:v>
                </c:pt>
                <c:pt idx="2">
                  <c:v>-0.9266383530377429</c:v>
                </c:pt>
                <c:pt idx="3">
                  <c:v>-0.4103590229075978</c:v>
                </c:pt>
                <c:pt idx="4">
                  <c:v>0.24379682861309102</c:v>
                </c:pt>
                <c:pt idx="5">
                  <c:v>0.7885441817793875</c:v>
                </c:pt>
                <c:pt idx="6">
                  <c:v>1.0541866673256235</c:v>
                </c:pt>
                <c:pt idx="7">
                  <c:v>0.9870487022721866</c:v>
                </c:pt>
                <c:pt idx="8">
                  <c:v>0.624880500256198</c:v>
                </c:pt>
                <c:pt idx="9">
                  <c:v>0.05685152732577635</c:v>
                </c:pt>
                <c:pt idx="10">
                  <c:v>-0.5952927500784286</c:v>
                </c:pt>
                <c:pt idx="11">
                  <c:v>-1.1721402911495968</c:v>
                </c:pt>
                <c:pt idx="12">
                  <c:v>-1.490589960814269</c:v>
                </c:pt>
                <c:pt idx="13">
                  <c:v>-1.4242851801382241</c:v>
                </c:pt>
                <c:pt idx="14">
                  <c:v>-0.998795653579585</c:v>
                </c:pt>
                <c:pt idx="15">
                  <c:v>-0.3849372411048423</c:v>
                </c:pt>
                <c:pt idx="16">
                  <c:v>0.20859585973333744</c:v>
                </c:pt>
                <c:pt idx="17">
                  <c:v>0.6380943142335377</c:v>
                </c:pt>
                <c:pt idx="18">
                  <c:v>0.861364268510662</c:v>
                </c:pt>
                <c:pt idx="19">
                  <c:v>0.9077051232656566</c:v>
                </c:pt>
                <c:pt idx="20">
                  <c:v>0.8116512824275197</c:v>
                </c:pt>
                <c:pt idx="21">
                  <c:v>0.5678212436156362</c:v>
                </c:pt>
                <c:pt idx="22">
                  <c:v>0.15687069430670775</c:v>
                </c:pt>
                <c:pt idx="23">
                  <c:v>-0.3745188371759594</c:v>
                </c:pt>
                <c:pt idx="24">
                  <c:v>-0.8648023785513241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расчет!$A$214</c:f>
              <c:strCache>
                <c:ptCount val="1"/>
                <c:pt idx="0">
                  <c:v>(M)О=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расчет!$B$214:$IV$214</c:f>
              <c:numCache>
                <c:ptCount val="25"/>
                <c:pt idx="0">
                  <c:v>-0.7812227174405898</c:v>
                </c:pt>
                <c:pt idx="1">
                  <c:v>-0.9788869514063132</c:v>
                </c:pt>
                <c:pt idx="2">
                  <c:v>-0.8078997289018315</c:v>
                </c:pt>
                <c:pt idx="3">
                  <c:v>-0.34397867701694407</c:v>
                </c:pt>
                <c:pt idx="4">
                  <c:v>0.19531294240544317</c:v>
                </c:pt>
                <c:pt idx="5">
                  <c:v>0.5922590996877337</c:v>
                </c:pt>
                <c:pt idx="6">
                  <c:v>0.737745666923677</c:v>
                </c:pt>
                <c:pt idx="7">
                  <c:v>0.6476358600985626</c:v>
                </c:pt>
                <c:pt idx="8">
                  <c:v>0.4097951702225883</c:v>
                </c:pt>
                <c:pt idx="9">
                  <c:v>0.114428388515392</c:v>
                </c:pt>
                <c:pt idx="10">
                  <c:v>-0.18751495464686163</c:v>
                </c:pt>
                <c:pt idx="11">
                  <c:v>-0.4707844573998907</c:v>
                </c:pt>
                <c:pt idx="12">
                  <c:v>-0.683710696113661</c:v>
                </c:pt>
                <c:pt idx="13">
                  <c:v>-0.7362078005662434</c:v>
                </c:pt>
                <c:pt idx="14">
                  <c:v>-0.5734077068154302</c:v>
                </c:pt>
                <c:pt idx="15">
                  <c:v>-0.24692336768995693</c:v>
                </c:pt>
                <c:pt idx="16">
                  <c:v>0.11332541418479984</c:v>
                </c:pt>
                <c:pt idx="17">
                  <c:v>0.39256000957323833</c:v>
                </c:pt>
                <c:pt idx="18">
                  <c:v>0.5541146535809489</c:v>
                </c:pt>
                <c:pt idx="19">
                  <c:v>0.6213786434992002</c:v>
                </c:pt>
                <c:pt idx="20">
                  <c:v>0.6055121864644084</c:v>
                </c:pt>
                <c:pt idx="21">
                  <c:v>0.4618379438987944</c:v>
                </c:pt>
                <c:pt idx="22">
                  <c:v>0.13625430208094017</c:v>
                </c:pt>
                <c:pt idx="23">
                  <c:v>-0.3350127102276509</c:v>
                </c:pt>
                <c:pt idx="24">
                  <c:v>-0.7812227174405895</c:v>
                </c:pt>
              </c:numCache>
            </c:numRef>
          </c:val>
          <c:smooth val="1"/>
        </c:ser>
        <c:axId val="17835866"/>
        <c:axId val="26305067"/>
      </c:line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305067"/>
        <c:crosses val="autoZero"/>
        <c:auto val="0"/>
        <c:lblOffset val="100"/>
        <c:noMultiLvlLbl val="0"/>
      </c:catAx>
      <c:valAx>
        <c:axId val="263050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83586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расчет!$A$141</c:f>
              <c:strCache>
                <c:ptCount val="1"/>
                <c:pt idx="0">
                  <c:v>Ek1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расчет!$B$141:$IV$141</c:f>
              <c:numCach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расчет!$A$145</c:f>
              <c:strCache>
                <c:ptCount val="1"/>
                <c:pt idx="0">
                  <c:v>Wk1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расчет!$B$145:$IV$145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1"/>
        </c:ser>
        <c:axId val="35419012"/>
        <c:axId val="50335653"/>
      </c:lineChart>
      <c:catAx>
        <c:axId val="35419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335653"/>
        <c:crosses val="autoZero"/>
        <c:auto val="0"/>
        <c:lblOffset val="100"/>
        <c:noMultiLvlLbl val="0"/>
      </c:catAx>
      <c:valAx>
        <c:axId val="503356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41901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расчет!$A$149</c:f>
              <c:strCache>
                <c:ptCount val="1"/>
                <c:pt idx="0">
                  <c:v>Ek2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расчет!$B$149:$IV$149</c:f>
              <c:numCache>
                <c:ptCount val="25"/>
                <c:pt idx="0">
                  <c:v>0.3715551117672569</c:v>
                </c:pt>
                <c:pt idx="1">
                  <c:v>0.2366670190450277</c:v>
                </c:pt>
                <c:pt idx="2">
                  <c:v>0.1106978330429327</c:v>
                </c:pt>
                <c:pt idx="3">
                  <c:v>0.03801967019449239</c:v>
                </c:pt>
                <c:pt idx="4">
                  <c:v>0.042844888713045565</c:v>
                </c:pt>
                <c:pt idx="5">
                  <c:v>0.12072209897884251</c:v>
                </c:pt>
                <c:pt idx="6">
                  <c:v>0.24349610308012826</c:v>
                </c:pt>
                <c:pt idx="7">
                  <c:v>0.3720799271909442</c:v>
                </c:pt>
                <c:pt idx="8">
                  <c:v>0.46969177338214896</c:v>
                </c:pt>
                <c:pt idx="9">
                  <c:v>0.5113683624362751</c:v>
                </c:pt>
                <c:pt idx="10">
                  <c:v>0.48879923623217325</c:v>
                </c:pt>
                <c:pt idx="11">
                  <c:v>0.4107485486100297</c:v>
                </c:pt>
                <c:pt idx="12">
                  <c:v>0.2993803574630919</c:v>
                </c:pt>
                <c:pt idx="13">
                  <c:v>0.1832971796026066</c:v>
                </c:pt>
                <c:pt idx="14">
                  <c:v>0.08945287365083597</c:v>
                </c:pt>
                <c:pt idx="15">
                  <c:v>0.03692222336011775</c:v>
                </c:pt>
                <c:pt idx="16">
                  <c:v>0.03435676463410792</c:v>
                </c:pt>
                <c:pt idx="17">
                  <c:v>0.08057126878853334</c:v>
                </c:pt>
                <c:pt idx="18">
                  <c:v>0.16625944155038352</c:v>
                </c:pt>
                <c:pt idx="19">
                  <c:v>0.275276626242363</c:v>
                </c:pt>
                <c:pt idx="20">
                  <c:v>0.38544459339902204</c:v>
                </c:pt>
                <c:pt idx="21">
                  <c:v>0.4703153954825006</c:v>
                </c:pt>
                <c:pt idx="22">
                  <c:v>0.5039891239009043</c:v>
                </c:pt>
                <c:pt idx="23">
                  <c:v>0.46997977979095373</c:v>
                </c:pt>
                <c:pt idx="24">
                  <c:v>0.371555111767257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расчет!$A$153</c:f>
              <c:strCache>
                <c:ptCount val="1"/>
                <c:pt idx="0">
                  <c:v>Wk2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расчет!$B$153:$IV$153</c:f>
              <c:numCache>
                <c:ptCount val="25"/>
                <c:pt idx="0">
                  <c:v>-0.4838636191428611</c:v>
                </c:pt>
                <c:pt idx="1">
                  <c:v>-0.540886301582831</c:v>
                </c:pt>
                <c:pt idx="2">
                  <c:v>-0.4081568331815885</c:v>
                </c:pt>
                <c:pt idx="3">
                  <c:v>-0.13286382720282175</c:v>
                </c:pt>
                <c:pt idx="4">
                  <c:v>0.1788064452246315</c:v>
                </c:pt>
                <c:pt idx="5">
                  <c:v>0.4163971238672112</c:v>
                </c:pt>
                <c:pt idx="6">
                  <c:v>0.5112636400547087</c:v>
                </c:pt>
                <c:pt idx="7">
                  <c:v>0.4516815956629404</c:v>
                </c:pt>
                <c:pt idx="8">
                  <c:v>0.2720715328570322</c:v>
                </c:pt>
                <c:pt idx="9">
                  <c:v>0.03238682187882457</c:v>
                </c:pt>
                <c:pt idx="10">
                  <c:v>-0.2012684758172933</c:v>
                </c:pt>
                <c:pt idx="11">
                  <c:v>-0.37205071166654846</c:v>
                </c:pt>
                <c:pt idx="12">
                  <c:v>-0.4443106962797511</c:v>
                </c:pt>
                <c:pt idx="13">
                  <c:v>-0.4103434380675605</c:v>
                </c:pt>
                <c:pt idx="14">
                  <c:v>-0.2884296400880863</c:v>
                </c:pt>
                <c:pt idx="15">
                  <c:v>-0.1124755875391207</c:v>
                </c:pt>
                <c:pt idx="16">
                  <c:v>0.080228465458295</c:v>
                </c:pt>
                <c:pt idx="17">
                  <c:v>0.2560179784734462</c:v>
                </c:pt>
                <c:pt idx="18">
                  <c:v>0.38526313402938</c:v>
                </c:pt>
                <c:pt idx="19">
                  <c:v>0.44041737089351446</c:v>
                </c:pt>
                <c:pt idx="20">
                  <c:v>0.39756630489987344</c:v>
                </c:pt>
                <c:pt idx="21">
                  <c:v>0.24561765199030106</c:v>
                </c:pt>
                <c:pt idx="22">
                  <c:v>0.0023497466483547217</c:v>
                </c:pt>
                <c:pt idx="23">
                  <c:v>-0.27237867853327163</c:v>
                </c:pt>
                <c:pt idx="24">
                  <c:v>-0.48386361914286097</c:v>
                </c:pt>
              </c:numCache>
            </c:numRef>
          </c:val>
          <c:smooth val="1"/>
        </c:ser>
        <c:axId val="50367694"/>
        <c:axId val="50656063"/>
      </c:line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656063"/>
        <c:crosses val="autoZero"/>
        <c:auto val="0"/>
        <c:lblOffset val="100"/>
        <c:noMultiLvlLbl val="0"/>
      </c:catAx>
      <c:valAx>
        <c:axId val="506560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36769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расчет!$A$157</c:f>
              <c:strCache>
                <c:ptCount val="1"/>
                <c:pt idx="0">
                  <c:v>Ek3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расчет!$B$157:$IV$157</c:f>
              <c:numCache>
                <c:ptCount val="25"/>
                <c:pt idx="0">
                  <c:v>0.13891907974542878</c:v>
                </c:pt>
                <c:pt idx="1">
                  <c:v>0.08974736959451983</c:v>
                </c:pt>
                <c:pt idx="2">
                  <c:v>0.039529085078138064</c:v>
                </c:pt>
                <c:pt idx="3">
                  <c:v>0.006334873796793454</c:v>
                </c:pt>
                <c:pt idx="4">
                  <c:v>0.0021450380231159546</c:v>
                </c:pt>
                <c:pt idx="5">
                  <c:v>0.027842226324961552</c:v>
                </c:pt>
                <c:pt idx="6">
                  <c:v>0.07381005256438783</c:v>
                </c:pt>
                <c:pt idx="7">
                  <c:v>0.12465032716630917</c:v>
                </c:pt>
                <c:pt idx="8">
                  <c:v>0.16490184116182932</c:v>
                </c:pt>
                <c:pt idx="9">
                  <c:v>0.18353280224499963</c:v>
                </c:pt>
                <c:pt idx="10">
                  <c:v>0.17642203870361978</c:v>
                </c:pt>
                <c:pt idx="11">
                  <c:v>0.14678045559331732</c:v>
                </c:pt>
                <c:pt idx="12">
                  <c:v>0.1036220227083565</c:v>
                </c:pt>
                <c:pt idx="13">
                  <c:v>0.058666422835566896</c:v>
                </c:pt>
                <c:pt idx="14">
                  <c:v>0.022704814609330628</c:v>
                </c:pt>
                <c:pt idx="15">
                  <c:v>0.0028881126747350595</c:v>
                </c:pt>
                <c:pt idx="16">
                  <c:v>0.0018662234303394457</c:v>
                </c:pt>
                <c:pt idx="17">
                  <c:v>0.018499585930048325</c:v>
                </c:pt>
                <c:pt idx="18">
                  <c:v>0.049070692596057126</c:v>
                </c:pt>
                <c:pt idx="19">
                  <c:v>0.08808204634615653</c:v>
                </c:pt>
                <c:pt idx="20">
                  <c:v>0.1284389861299086</c:v>
                </c:pt>
                <c:pt idx="21">
                  <c:v>0.1615257913131636</c:v>
                </c:pt>
                <c:pt idx="22">
                  <c:v>0.1781231596196954</c:v>
                </c:pt>
                <c:pt idx="23">
                  <c:v>0.17100302066558087</c:v>
                </c:pt>
                <c:pt idx="24">
                  <c:v>0.1389190797454289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расчет!$A$161</c:f>
              <c:strCache>
                <c:ptCount val="1"/>
                <c:pt idx="0">
                  <c:v>Wk3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расчет!$B$161:$IV$161</c:f>
              <c:numCache>
                <c:ptCount val="25"/>
                <c:pt idx="0">
                  <c:v>-0.16327927214039176</c:v>
                </c:pt>
                <c:pt idx="1">
                  <c:v>-0.20172865478663532</c:v>
                </c:pt>
                <c:pt idx="2">
                  <c:v>-0.1698344534593213</c:v>
                </c:pt>
                <c:pt idx="3">
                  <c:v>-0.07578015224471675</c:v>
                </c:pt>
                <c:pt idx="4">
                  <c:v>0.044277446714740376</c:v>
                </c:pt>
                <c:pt idx="5">
                  <c:v>0.1455795369129037</c:v>
                </c:pt>
                <c:pt idx="6">
                  <c:v>0.19540119620087512</c:v>
                </c:pt>
                <c:pt idx="7">
                  <c:v>0.18285537302667906</c:v>
                </c:pt>
                <c:pt idx="8">
                  <c:v>0.11746311780525465</c:v>
                </c:pt>
                <c:pt idx="9">
                  <c:v>0.022217167089725647</c:v>
                </c:pt>
                <c:pt idx="10">
                  <c:v>-0.07439534230887376</c:v>
                </c:pt>
                <c:pt idx="11">
                  <c:v>-0.14610438992720445</c:v>
                </c:pt>
                <c:pt idx="12">
                  <c:v>-0.17589429236409038</c:v>
                </c:pt>
                <c:pt idx="13">
                  <c:v>-0.16048890633766152</c:v>
                </c:pt>
                <c:pt idx="14">
                  <c:v>-0.10963373517215297</c:v>
                </c:pt>
                <c:pt idx="15">
                  <c:v>-0.04012457355740868</c:v>
                </c:pt>
                <c:pt idx="16">
                  <c:v>0.031506172085197987</c:v>
                </c:pt>
                <c:pt idx="17">
                  <c:v>0.09314422255280262</c:v>
                </c:pt>
                <c:pt idx="18">
                  <c:v>0.1368953950795171</c:v>
                </c:pt>
                <c:pt idx="19">
                  <c:v>0.15661729546720948</c:v>
                </c:pt>
                <c:pt idx="20">
                  <c:v>0.14615291633064612</c:v>
                </c:pt>
                <c:pt idx="21">
                  <c:v>0.10057658805535717</c:v>
                </c:pt>
                <c:pt idx="22">
                  <c:v>0.02134085608910504</c:v>
                </c:pt>
                <c:pt idx="23">
                  <c:v>-0.07676351111155738</c:v>
                </c:pt>
                <c:pt idx="24">
                  <c:v>-0.16327927214039176</c:v>
                </c:pt>
              </c:numCache>
            </c:numRef>
          </c:val>
          <c:smooth val="1"/>
        </c:ser>
        <c:axId val="53251384"/>
        <c:axId val="9500409"/>
      </c:lineChart>
      <c:catAx>
        <c:axId val="53251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500409"/>
        <c:crosses val="autoZero"/>
        <c:auto val="0"/>
        <c:lblOffset val="100"/>
        <c:noMultiLvlLbl val="0"/>
      </c:catAx>
      <c:valAx>
        <c:axId val="95004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25138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расчет!$A$165</c:f>
              <c:strCache>
                <c:ptCount val="1"/>
                <c:pt idx="0">
                  <c:v>Ek5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расчет!$B$165:$IV$165</c:f>
              <c:numCache>
                <c:ptCount val="25"/>
                <c:pt idx="0">
                  <c:v>0.2064991732312592</c:v>
                </c:pt>
                <c:pt idx="1">
                  <c:v>0.13340685566669563</c:v>
                </c:pt>
                <c:pt idx="2">
                  <c:v>0.05875883573503315</c:v>
                </c:pt>
                <c:pt idx="3">
                  <c:v>0.009416605724421821</c:v>
                </c:pt>
                <c:pt idx="4">
                  <c:v>0.0031885366584256756</c:v>
                </c:pt>
                <c:pt idx="5">
                  <c:v>0.04138665997181968</c:v>
                </c:pt>
                <c:pt idx="6">
                  <c:v>0.10971649724884827</c:v>
                </c:pt>
                <c:pt idx="7">
                  <c:v>0.18528908735947633</c:v>
                </c:pt>
                <c:pt idx="8">
                  <c:v>0.24512179267693923</c:v>
                </c:pt>
                <c:pt idx="9">
                  <c:v>0.272816174667006</c:v>
                </c:pt>
                <c:pt idx="10">
                  <c:v>0.2622462313947878</c:v>
                </c:pt>
                <c:pt idx="11">
                  <c:v>0.21818487987446494</c:v>
                </c:pt>
                <c:pt idx="12">
                  <c:v>0.15403112414103431</c:v>
                </c:pt>
                <c:pt idx="13">
                  <c:v>0.087205931929438</c:v>
                </c:pt>
                <c:pt idx="14">
                  <c:v>0.03375004681709367</c:v>
                </c:pt>
                <c:pt idx="15">
                  <c:v>0.0042930955245629975</c:v>
                </c:pt>
                <c:pt idx="16">
                  <c:v>0.002774086872271992</c:v>
                </c:pt>
                <c:pt idx="17">
                  <c:v>0.027499096644435693</c:v>
                </c:pt>
                <c:pt idx="18">
                  <c:v>0.07294215790617131</c:v>
                </c:pt>
                <c:pt idx="19">
                  <c:v>0.13093140107413714</c:v>
                </c:pt>
                <c:pt idx="20">
                  <c:v>0.19092081876075073</c:v>
                </c:pt>
                <c:pt idx="21">
                  <c:v>0.2401033927291818</c:v>
                </c:pt>
                <c:pt idx="22">
                  <c:v>0.264774898179651</c:v>
                </c:pt>
                <c:pt idx="23">
                  <c:v>0.25419101862897525</c:v>
                </c:pt>
                <c:pt idx="24">
                  <c:v>0.20649917323125938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расчет!$A$169</c:f>
              <c:strCache>
                <c:ptCount val="1"/>
                <c:pt idx="0">
                  <c:v>Wk5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расчет!$B$169:$IV$169</c:f>
              <c:numCache>
                <c:ptCount val="25"/>
                <c:pt idx="0">
                  <c:v>-0.24270989099970733</c:v>
                </c:pt>
                <c:pt idx="1">
                  <c:v>-0.29580562033175684</c:v>
                </c:pt>
                <c:pt idx="2">
                  <c:v>-0.24769080000789595</c:v>
                </c:pt>
                <c:pt idx="3">
                  <c:v>-0.11028962237764894</c:v>
                </c:pt>
                <c:pt idx="4">
                  <c:v>0.06443612853865269</c:v>
                </c:pt>
                <c:pt idx="5">
                  <c:v>0.21222691609483502</c:v>
                </c:pt>
                <c:pt idx="6">
                  <c:v>0.2860607011344306</c:v>
                </c:pt>
                <c:pt idx="7">
                  <c:v>0.2701863591304837</c:v>
                </c:pt>
                <c:pt idx="8">
                  <c:v>0.17808458390391985</c:v>
                </c:pt>
                <c:pt idx="9">
                  <c:v>0.04255068026855602</c:v>
                </c:pt>
                <c:pt idx="10">
                  <c:v>-0.09571034595360439</c:v>
                </c:pt>
                <c:pt idx="11">
                  <c:v>-0.19910623517645645</c:v>
                </c:pt>
                <c:pt idx="12">
                  <c:v>-0.24321691540758675</c:v>
                </c:pt>
                <c:pt idx="13">
                  <c:v>-0.2232140150535664</c:v>
                </c:pt>
                <c:pt idx="14">
                  <c:v>-0.15285546373817654</c:v>
                </c:pt>
                <c:pt idx="15">
                  <c:v>-0.055978650930218796</c:v>
                </c:pt>
                <c:pt idx="16">
                  <c:v>0.04392966976532207</c:v>
                </c:pt>
                <c:pt idx="17">
                  <c:v>0.12966352354771252</c:v>
                </c:pt>
                <c:pt idx="18">
                  <c:v>0.1900231076083692</c:v>
                </c:pt>
                <c:pt idx="19">
                  <c:v>0.2163054790089717</c:v>
                </c:pt>
                <c:pt idx="20">
                  <c:v>0.19979941191875505</c:v>
                </c:pt>
                <c:pt idx="21">
                  <c:v>0.13357781925554632</c:v>
                </c:pt>
                <c:pt idx="22">
                  <c:v>0.019849820183465233</c:v>
                </c:pt>
                <c:pt idx="23">
                  <c:v>-0.12011664038240191</c:v>
                </c:pt>
                <c:pt idx="24">
                  <c:v>-0.24270989099970733</c:v>
                </c:pt>
              </c:numCache>
            </c:numRef>
          </c:val>
          <c:smooth val="1"/>
        </c:ser>
        <c:axId val="18394818"/>
        <c:axId val="31335635"/>
      </c:lineChart>
      <c:catAx>
        <c:axId val="18394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335635"/>
        <c:crosses val="autoZero"/>
        <c:auto val="0"/>
        <c:lblOffset val="100"/>
        <c:noMultiLvlLbl val="0"/>
      </c:catAx>
      <c:valAx>
        <c:axId val="313356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39481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расчет!$A$173</c:f>
              <c:strCache>
                <c:ptCount val="1"/>
                <c:pt idx="0">
                  <c:v>Ek6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расчет!$B$173:$IV$173</c:f>
              <c:numCache>
                <c:ptCount val="25"/>
                <c:pt idx="0">
                  <c:v>0.04898557072197763</c:v>
                </c:pt>
                <c:pt idx="1">
                  <c:v>0.031136732798694444</c:v>
                </c:pt>
                <c:pt idx="2">
                  <c:v>0.014167366538246143</c:v>
                </c:pt>
                <c:pt idx="3">
                  <c:v>0.0023372681617380413</c:v>
                </c:pt>
                <c:pt idx="4">
                  <c:v>0.0007944544977297819</c:v>
                </c:pt>
                <c:pt idx="5">
                  <c:v>0.010074166412842912</c:v>
                </c:pt>
                <c:pt idx="6">
                  <c:v>0.02578820506753746</c:v>
                </c:pt>
                <c:pt idx="7">
                  <c:v>0.0433431375063813</c:v>
                </c:pt>
                <c:pt idx="8">
                  <c:v>0.06324314390964474</c:v>
                </c:pt>
                <c:pt idx="9">
                  <c:v>0.09132869896502246</c:v>
                </c:pt>
                <c:pt idx="10">
                  <c:v>0.13037960275562083</c:v>
                </c:pt>
                <c:pt idx="11">
                  <c:v>0.16768137165456093</c:v>
                </c:pt>
                <c:pt idx="12">
                  <c:v>0.17526101659993407</c:v>
                </c:pt>
                <c:pt idx="13">
                  <c:v>0.1346680796459383</c:v>
                </c:pt>
                <c:pt idx="14">
                  <c:v>0.06389729048988009</c:v>
                </c:pt>
                <c:pt idx="15">
                  <c:v>0.009002649198726455</c:v>
                </c:pt>
                <c:pt idx="16">
                  <c:v>0.005846430858327389</c:v>
                </c:pt>
                <c:pt idx="17">
                  <c:v>0.052984859003333266</c:v>
                </c:pt>
                <c:pt idx="18">
                  <c:v>0.11686918504371689</c:v>
                </c:pt>
                <c:pt idx="19">
                  <c:v>0.15878201513504642</c:v>
                </c:pt>
                <c:pt idx="20">
                  <c:v>0.16100565195981437</c:v>
                </c:pt>
                <c:pt idx="21">
                  <c:v>0.1333216989299424</c:v>
                </c:pt>
                <c:pt idx="22">
                  <c:v>0.09786226396440292</c:v>
                </c:pt>
                <c:pt idx="23">
                  <c:v>0.06943888227781658</c:v>
                </c:pt>
                <c:pt idx="24">
                  <c:v>0.04898557072197768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расчет!$A$177</c:f>
              <c:strCache>
                <c:ptCount val="1"/>
                <c:pt idx="0">
                  <c:v>Wk6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расчет!$B$177:$IV$177</c:f>
              <c:numCache>
                <c:ptCount val="25"/>
                <c:pt idx="0">
                  <c:v>-0.006597599283792556</c:v>
                </c:pt>
                <c:pt idx="1">
                  <c:v>-0.050852511474165064</c:v>
                </c:pt>
                <c:pt idx="2">
                  <c:v>-0.05852939746832636</c:v>
                </c:pt>
                <c:pt idx="3">
                  <c:v>-0.028218652886582152</c:v>
                </c:pt>
                <c:pt idx="4">
                  <c:v>0.016241666073028016</c:v>
                </c:pt>
                <c:pt idx="5">
                  <c:v>0.05113465108453062</c:v>
                </c:pt>
                <c:pt idx="6">
                  <c:v>0.06628925078452101</c:v>
                </c:pt>
                <c:pt idx="7">
                  <c:v>0.05780915447250448</c:v>
                </c:pt>
                <c:pt idx="8">
                  <c:v>0.013681454530500037</c:v>
                </c:pt>
                <c:pt idx="9">
                  <c:v>-0.08951955477543665</c:v>
                </c:pt>
                <c:pt idx="10">
                  <c:v>-0.2659005047148548</c:v>
                </c:pt>
                <c:pt idx="11">
                  <c:v>-0.4800842926002634</c:v>
                </c:pt>
                <c:pt idx="12">
                  <c:v>-0.6312638379299658</c:v>
                </c:pt>
                <c:pt idx="13">
                  <c:v>-0.6145544200754396</c:v>
                </c:pt>
                <c:pt idx="14">
                  <c:v>-0.4179834602274922</c:v>
                </c:pt>
                <c:pt idx="15">
                  <c:v>-0.13951783515845098</c:v>
                </c:pt>
                <c:pt idx="16">
                  <c:v>0.08982264553473404</c:v>
                </c:pt>
                <c:pt idx="17">
                  <c:v>0.1902621000589123</c:v>
                </c:pt>
                <c:pt idx="18">
                  <c:v>0.16880452049972478</c:v>
                </c:pt>
                <c:pt idx="19">
                  <c:v>0.09727456391424659</c:v>
                </c:pt>
                <c:pt idx="20">
                  <c:v>0.05004731340626806</c:v>
                </c:pt>
                <c:pt idx="21">
                  <c:v>0.04843507104079413</c:v>
                </c:pt>
                <c:pt idx="22">
                  <c:v>0.058997371722903064</c:v>
                </c:pt>
                <c:pt idx="23">
                  <c:v>0.041447300243812976</c:v>
                </c:pt>
                <c:pt idx="24">
                  <c:v>-0.006597599283792495</c:v>
                </c:pt>
              </c:numCache>
            </c:numRef>
          </c:val>
          <c:smooth val="1"/>
        </c:ser>
        <c:axId val="13585260"/>
        <c:axId val="55158477"/>
      </c:lineChart>
      <c:catAx>
        <c:axId val="13585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158477"/>
        <c:crosses val="autoZero"/>
        <c:auto val="0"/>
        <c:lblOffset val="100"/>
        <c:noMultiLvlLbl val="0"/>
      </c:catAx>
      <c:valAx>
        <c:axId val="551584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5852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расчет!$A$145</c:f>
              <c:strCache>
                <c:ptCount val="1"/>
                <c:pt idx="0">
                  <c:v>Wk1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расчет!$B$145:$IV$145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расчет!$A$153</c:f>
              <c:strCache>
                <c:ptCount val="1"/>
                <c:pt idx="0">
                  <c:v>Wk2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расчет!$B$153:$IV$153</c:f>
              <c:numCache>
                <c:ptCount val="25"/>
                <c:pt idx="0">
                  <c:v>-0.4522156161274328</c:v>
                </c:pt>
                <c:pt idx="1">
                  <c:v>-0.5462046126391245</c:v>
                </c:pt>
                <c:pt idx="2">
                  <c:v>-0.4505837021021993</c:v>
                </c:pt>
                <c:pt idx="3">
                  <c:v>-0.19607059539864993</c:v>
                </c:pt>
                <c:pt idx="4">
                  <c:v>0.11884158728666994</c:v>
                </c:pt>
                <c:pt idx="5">
                  <c:v>0.3796030776871181</c:v>
                </c:pt>
                <c:pt idx="6">
                  <c:v>0.5064355192057967</c:v>
                </c:pt>
                <c:pt idx="7">
                  <c:v>0.47619781564251934</c:v>
                </c:pt>
                <c:pt idx="8">
                  <c:v>0.3156513440165234</c:v>
                </c:pt>
                <c:pt idx="9">
                  <c:v>0.08160323474293134</c:v>
                </c:pt>
                <c:pt idx="10">
                  <c:v>-0.15928655710109565</c:v>
                </c:pt>
                <c:pt idx="11">
                  <c:v>-0.3468453734456725</c:v>
                </c:pt>
                <c:pt idx="12">
                  <c:v>-0.4402149151126262</c:v>
                </c:pt>
                <c:pt idx="13">
                  <c:v>-0.4260278386715566</c:v>
                </c:pt>
                <c:pt idx="14">
                  <c:v>-0.31832299444176326</c:v>
                </c:pt>
                <c:pt idx="15">
                  <c:v>-0.1493161814587638</c:v>
                </c:pt>
                <c:pt idx="16">
                  <c:v>0.04333737234808334</c:v>
                </c:pt>
                <c:pt idx="17">
                  <c:v>0.22502446807411028</c:v>
                </c:pt>
                <c:pt idx="18">
                  <c:v>0.36564124532305087</c:v>
                </c:pt>
                <c:pt idx="19">
                  <c:v>0.4375077848752288</c:v>
                </c:pt>
                <c:pt idx="20">
                  <c:v>0.4156516407718506</c:v>
                </c:pt>
                <c:pt idx="21">
                  <c:v>0.28523176526393856</c:v>
                </c:pt>
                <c:pt idx="22">
                  <c:v>0.05668264631123442</c:v>
                </c:pt>
                <c:pt idx="23">
                  <c:v>-0.21908598592581313</c:v>
                </c:pt>
                <c:pt idx="24">
                  <c:v>-0.4522156161274326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расчет!$A$161</c:f>
              <c:strCache>
                <c:ptCount val="1"/>
                <c:pt idx="0">
                  <c:v>Wk3 =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расчет!$B$161:$IV$161</c:f>
              <c:numCache>
                <c:ptCount val="25"/>
                <c:pt idx="0">
                  <c:v>-0.16327927214039176</c:v>
                </c:pt>
                <c:pt idx="1">
                  <c:v>-0.20172865478663532</c:v>
                </c:pt>
                <c:pt idx="2">
                  <c:v>-0.1698344534593213</c:v>
                </c:pt>
                <c:pt idx="3">
                  <c:v>-0.07578015224471675</c:v>
                </c:pt>
                <c:pt idx="4">
                  <c:v>0.044277446714740376</c:v>
                </c:pt>
                <c:pt idx="5">
                  <c:v>0.1455795369129037</c:v>
                </c:pt>
                <c:pt idx="6">
                  <c:v>0.19540119620087512</c:v>
                </c:pt>
                <c:pt idx="7">
                  <c:v>0.18285537302667906</c:v>
                </c:pt>
                <c:pt idx="8">
                  <c:v>0.11746311780525465</c:v>
                </c:pt>
                <c:pt idx="9">
                  <c:v>0.022217167089725647</c:v>
                </c:pt>
                <c:pt idx="10">
                  <c:v>-0.07439534230887376</c:v>
                </c:pt>
                <c:pt idx="11">
                  <c:v>-0.14610438992720445</c:v>
                </c:pt>
                <c:pt idx="12">
                  <c:v>-0.17589429236409038</c:v>
                </c:pt>
                <c:pt idx="13">
                  <c:v>-0.16048890633766152</c:v>
                </c:pt>
                <c:pt idx="14">
                  <c:v>-0.10963373517215297</c:v>
                </c:pt>
                <c:pt idx="15">
                  <c:v>-0.04012457355740868</c:v>
                </c:pt>
                <c:pt idx="16">
                  <c:v>0.031506172085197987</c:v>
                </c:pt>
                <c:pt idx="17">
                  <c:v>0.09314422255280262</c:v>
                </c:pt>
                <c:pt idx="18">
                  <c:v>0.1368953950795171</c:v>
                </c:pt>
                <c:pt idx="19">
                  <c:v>0.15661729546720948</c:v>
                </c:pt>
                <c:pt idx="20">
                  <c:v>0.14615291633064612</c:v>
                </c:pt>
                <c:pt idx="21">
                  <c:v>0.10057658805535717</c:v>
                </c:pt>
                <c:pt idx="22">
                  <c:v>0.02134085608910504</c:v>
                </c:pt>
                <c:pt idx="23">
                  <c:v>-0.07676351111155738</c:v>
                </c:pt>
                <c:pt idx="24">
                  <c:v>-0.16327927214039176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расчет!$A$169</c:f>
              <c:strCache>
                <c:ptCount val="1"/>
                <c:pt idx="0">
                  <c:v>Wk5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расчет!$B$169:$IV$169</c:f>
              <c:numCache>
                <c:ptCount val="25"/>
                <c:pt idx="0">
                  <c:v>-0.24270989099970733</c:v>
                </c:pt>
                <c:pt idx="1">
                  <c:v>-0.29580562033175684</c:v>
                </c:pt>
                <c:pt idx="2">
                  <c:v>-0.24769080000789595</c:v>
                </c:pt>
                <c:pt idx="3">
                  <c:v>-0.11028962237764894</c:v>
                </c:pt>
                <c:pt idx="4">
                  <c:v>0.06443612853865269</c:v>
                </c:pt>
                <c:pt idx="5">
                  <c:v>0.21222691609483502</c:v>
                </c:pt>
                <c:pt idx="6">
                  <c:v>0.2860607011344306</c:v>
                </c:pt>
                <c:pt idx="7">
                  <c:v>0.2701863591304837</c:v>
                </c:pt>
                <c:pt idx="8">
                  <c:v>0.17808458390391985</c:v>
                </c:pt>
                <c:pt idx="9">
                  <c:v>0.04255068026855602</c:v>
                </c:pt>
                <c:pt idx="10">
                  <c:v>-0.09571034595360439</c:v>
                </c:pt>
                <c:pt idx="11">
                  <c:v>-0.19910623517645645</c:v>
                </c:pt>
                <c:pt idx="12">
                  <c:v>-0.24321691540758675</c:v>
                </c:pt>
                <c:pt idx="13">
                  <c:v>-0.2232140150535664</c:v>
                </c:pt>
                <c:pt idx="14">
                  <c:v>-0.15285546373817654</c:v>
                </c:pt>
                <c:pt idx="15">
                  <c:v>-0.055978650930218796</c:v>
                </c:pt>
                <c:pt idx="16">
                  <c:v>0.04392966976532207</c:v>
                </c:pt>
                <c:pt idx="17">
                  <c:v>0.12966352354771252</c:v>
                </c:pt>
                <c:pt idx="18">
                  <c:v>0.1900231076083692</c:v>
                </c:pt>
                <c:pt idx="19">
                  <c:v>0.2163054790089717</c:v>
                </c:pt>
                <c:pt idx="20">
                  <c:v>0.19979941191875505</c:v>
                </c:pt>
                <c:pt idx="21">
                  <c:v>0.13357781925554632</c:v>
                </c:pt>
                <c:pt idx="22">
                  <c:v>0.019849820183465233</c:v>
                </c:pt>
                <c:pt idx="23">
                  <c:v>-0.12011664038240191</c:v>
                </c:pt>
                <c:pt idx="24">
                  <c:v>-0.24270989099970733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расчет!$A$177</c:f>
              <c:strCache>
                <c:ptCount val="1"/>
                <c:pt idx="0">
                  <c:v>Wk6 =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расчет!$B$177:$IV$177</c:f>
              <c:numCache>
                <c:ptCount val="25"/>
                <c:pt idx="0">
                  <c:v>-0.006597599283792556</c:v>
                </c:pt>
                <c:pt idx="1">
                  <c:v>-0.050852511474165064</c:v>
                </c:pt>
                <c:pt idx="2">
                  <c:v>-0.05852939746832636</c:v>
                </c:pt>
                <c:pt idx="3">
                  <c:v>-0.028218652886582152</c:v>
                </c:pt>
                <c:pt idx="4">
                  <c:v>0.016241666073028016</c:v>
                </c:pt>
                <c:pt idx="5">
                  <c:v>0.05113465108453062</c:v>
                </c:pt>
                <c:pt idx="6">
                  <c:v>0.06628925078452101</c:v>
                </c:pt>
                <c:pt idx="7">
                  <c:v>0.05780915447250448</c:v>
                </c:pt>
                <c:pt idx="8">
                  <c:v>0.013681454530500037</c:v>
                </c:pt>
                <c:pt idx="9">
                  <c:v>-0.08951955477543665</c:v>
                </c:pt>
                <c:pt idx="10">
                  <c:v>-0.2659005047148548</c:v>
                </c:pt>
                <c:pt idx="11">
                  <c:v>-0.4800842926002634</c:v>
                </c:pt>
                <c:pt idx="12">
                  <c:v>-0.6312638379299658</c:v>
                </c:pt>
                <c:pt idx="13">
                  <c:v>-0.6145544200754396</c:v>
                </c:pt>
                <c:pt idx="14">
                  <c:v>-0.4179834602274922</c:v>
                </c:pt>
                <c:pt idx="15">
                  <c:v>-0.13951783515845098</c:v>
                </c:pt>
                <c:pt idx="16">
                  <c:v>0.08982264553473404</c:v>
                </c:pt>
                <c:pt idx="17">
                  <c:v>0.1902621000589123</c:v>
                </c:pt>
                <c:pt idx="18">
                  <c:v>0.16880452049972478</c:v>
                </c:pt>
                <c:pt idx="19">
                  <c:v>0.09727456391424659</c:v>
                </c:pt>
                <c:pt idx="20">
                  <c:v>0.05004731340626806</c:v>
                </c:pt>
                <c:pt idx="21">
                  <c:v>0.04843507104079413</c:v>
                </c:pt>
                <c:pt idx="22">
                  <c:v>0.058997371722903064</c:v>
                </c:pt>
                <c:pt idx="23">
                  <c:v>0.041447300243812976</c:v>
                </c:pt>
                <c:pt idx="24">
                  <c:v>-0.006597599283792495</c:v>
                </c:pt>
              </c:numCache>
            </c:numRef>
          </c:val>
          <c:smooth val="1"/>
        </c:ser>
        <c:axId val="26664246"/>
        <c:axId val="38651623"/>
      </c:lineChart>
      <c:catAx>
        <c:axId val="26664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651623"/>
        <c:crosses val="autoZero"/>
        <c:auto val="0"/>
        <c:lblOffset val="100"/>
        <c:noMultiLvlLbl val="0"/>
      </c:catAx>
      <c:valAx>
        <c:axId val="386516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66424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Точка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9475"/>
          <c:w val="0.8165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расчет!$A$66</c:f>
              <c:strCache>
                <c:ptCount val="1"/>
                <c:pt idx="0">
                  <c:v>xD -3=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расчет!$B$66:$IV$66</c:f>
              <c:numCache>
                <c:ptCount val="25"/>
                <c:pt idx="0">
                  <c:v>0</c:v>
                </c:pt>
                <c:pt idx="1">
                  <c:v>0.003168767518587856</c:v>
                </c:pt>
                <c:pt idx="2">
                  <c:v>0.009609302325508828</c:v>
                </c:pt>
                <c:pt idx="3">
                  <c:v>0.014720982393419568</c:v>
                </c:pt>
                <c:pt idx="4">
                  <c:v>0.015400981598632235</c:v>
                </c:pt>
                <c:pt idx="5">
                  <c:v>0.011287551103171367</c:v>
                </c:pt>
                <c:pt idx="6">
                  <c:v>0.004834858321713931</c:v>
                </c:pt>
                <c:pt idx="7">
                  <c:v>0.00029781452931132435</c:v>
                </c:pt>
                <c:pt idx="8">
                  <c:v>0.0021380565829360876</c:v>
                </c:pt>
                <c:pt idx="9">
                  <c:v>0.01345518216132735</c:v>
                </c:pt>
                <c:pt idx="10">
                  <c:v>0.03491501329050628</c:v>
                </c:pt>
                <c:pt idx="11">
                  <c:v>0.0644389453557892</c:v>
                </c:pt>
                <c:pt idx="12">
                  <c:v>0.09769620209093421</c:v>
                </c:pt>
                <c:pt idx="13">
                  <c:v>0.12921191133044907</c:v>
                </c:pt>
                <c:pt idx="14">
                  <c:v>0.15371171963023045</c:v>
                </c:pt>
                <c:pt idx="15">
                  <c:v>0.16726810294072259</c:v>
                </c:pt>
                <c:pt idx="16">
                  <c:v>0.1679552563729496</c:v>
                </c:pt>
                <c:pt idx="17">
                  <c:v>0.15597549251952447</c:v>
                </c:pt>
                <c:pt idx="18">
                  <c:v>0.13341529511955663</c:v>
                </c:pt>
                <c:pt idx="19">
                  <c:v>0.10381950500711135</c:v>
                </c:pt>
                <c:pt idx="20">
                  <c:v>0.07167446677338152</c:v>
                </c:pt>
                <c:pt idx="21">
                  <c:v>0.04177310465964368</c:v>
                </c:pt>
                <c:pt idx="22">
                  <c:v>0.01839455188421546</c:v>
                </c:pt>
                <c:pt idx="23">
                  <c:v>0.004328344476461687</c:v>
                </c:pt>
                <c:pt idx="2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расчет!$A$68</c:f>
              <c:strCache>
                <c:ptCount val="1"/>
                <c:pt idx="0">
                  <c:v>xDt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расчет!$B$68:$IV$68</c:f>
              <c:numCache>
                <c:ptCount val="25"/>
                <c:pt idx="0">
                  <c:v>0</c:v>
                </c:pt>
                <c:pt idx="1">
                  <c:v>0.021408488445845763</c:v>
                </c:pt>
                <c:pt idx="2">
                  <c:v>0.024736276108405526</c:v>
                </c:pt>
                <c:pt idx="3">
                  <c:v>0.0122542866925003</c:v>
                </c:pt>
                <c:pt idx="4">
                  <c:v>-0.007293429615785176</c:v>
                </c:pt>
                <c:pt idx="5">
                  <c:v>-0.022498616063484782</c:v>
                </c:pt>
                <c:pt idx="6">
                  <c:v>-0.02398025162136925</c:v>
                </c:pt>
                <c:pt idx="7">
                  <c:v>-0.0077356023971243216</c:v>
                </c:pt>
                <c:pt idx="8">
                  <c:v>0.023837916331734103</c:v>
                </c:pt>
                <c:pt idx="9">
                  <c:v>0.06306261099361529</c:v>
                </c:pt>
                <c:pt idx="10">
                  <c:v>0.09952207083762778</c:v>
                </c:pt>
                <c:pt idx="11">
                  <c:v>0.12319289054283854</c:v>
                </c:pt>
                <c:pt idx="12">
                  <c:v>0.1272985184402548</c:v>
                </c:pt>
                <c:pt idx="13">
                  <c:v>0.11003015795496729</c:v>
                </c:pt>
                <c:pt idx="14">
                  <c:v>0.07459234215863472</c:v>
                </c:pt>
                <c:pt idx="15">
                  <c:v>0.027738482633851966</c:v>
                </c:pt>
                <c:pt idx="16">
                  <c:v>-0.02234276409649588</c:v>
                </c:pt>
                <c:pt idx="17">
                  <c:v>-0.06781963608876286</c:v>
                </c:pt>
                <c:pt idx="18">
                  <c:v>-0.1022383301458213</c:v>
                </c:pt>
                <c:pt idx="19">
                  <c:v>-0.12096117215853235</c:v>
                </c:pt>
                <c:pt idx="20">
                  <c:v>-0.12150529734621483</c:v>
                </c:pt>
                <c:pt idx="21">
                  <c:v>-0.10413567372733208</c:v>
                </c:pt>
                <c:pt idx="22">
                  <c:v>-0.0726270511633121</c:v>
                </c:pt>
                <c:pt idx="23">
                  <c:v>-0.034536216716042206</c:v>
                </c:pt>
                <c:pt idx="24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расчет!$A$70</c:f>
              <c:strCache>
                <c:ptCount val="1"/>
                <c:pt idx="0">
                  <c:v>xDtt =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расчет!$B$70:$IV$70</c:f>
              <c:numCache>
                <c:ptCount val="25"/>
                <c:pt idx="0">
                  <c:v>0.11196701879309173</c:v>
                </c:pt>
                <c:pt idx="1">
                  <c:v>0.04824215214950507</c:v>
                </c:pt>
                <c:pt idx="2">
                  <c:v>-0.021322791900735383</c:v>
                </c:pt>
                <c:pt idx="3">
                  <c:v>-0.06820011165933802</c:v>
                </c:pt>
                <c:pt idx="4">
                  <c:v>-0.0735496894507024</c:v>
                </c:pt>
                <c:pt idx="5">
                  <c:v>-0.03641531940148346</c:v>
                </c:pt>
                <c:pt idx="6">
                  <c:v>0.02770679365061924</c:v>
                </c:pt>
                <c:pt idx="7">
                  <c:v>0.09478845279219864</c:v>
                </c:pt>
                <c:pt idx="8">
                  <c:v>0.14135832969726114</c:v>
                </c:pt>
                <c:pt idx="9">
                  <c:v>0.1514577311252701</c:v>
                </c:pt>
                <c:pt idx="10">
                  <c:v>0.12050097337230326</c:v>
                </c:pt>
                <c:pt idx="11">
                  <c:v>0.05590140644291128</c:v>
                </c:pt>
                <c:pt idx="12">
                  <c:v>-0.025689694534981683</c:v>
                </c:pt>
                <c:pt idx="13">
                  <c:v>-0.10408864685471227</c:v>
                </c:pt>
                <c:pt idx="14">
                  <c:v>-0.1621924222917853</c:v>
                </c:pt>
                <c:pt idx="15">
                  <c:v>-0.19041332682387413</c:v>
                </c:pt>
                <c:pt idx="16">
                  <c:v>-0.18713072995914107</c:v>
                </c:pt>
                <c:pt idx="17">
                  <c:v>-0.15615555327464697</c:v>
                </c:pt>
                <c:pt idx="18">
                  <c:v>-0.10381358562899723</c:v>
                </c:pt>
                <c:pt idx="19">
                  <c:v>-0.03759948393753304</c:v>
                </c:pt>
                <c:pt idx="20">
                  <c:v>0.03332875438493357</c:v>
                </c:pt>
                <c:pt idx="21">
                  <c:v>0.09698997345969271</c:v>
                </c:pt>
                <c:pt idx="22">
                  <c:v>0.13883704422491394</c:v>
                </c:pt>
                <c:pt idx="23">
                  <c:v>0.14549272562523036</c:v>
                </c:pt>
                <c:pt idx="24">
                  <c:v>0.11196701879309183</c:v>
                </c:pt>
              </c:numCache>
            </c:numRef>
          </c:val>
          <c:smooth val="1"/>
        </c:ser>
        <c:axId val="12320288"/>
        <c:axId val="43773729"/>
      </c:lineChart>
      <c:catAx>
        <c:axId val="12320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773729"/>
        <c:crosses val="autoZero"/>
        <c:auto val="0"/>
        <c:lblOffset val="100"/>
        <c:noMultiLvlLbl val="0"/>
      </c:catAx>
      <c:valAx>
        <c:axId val="437737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32028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Точка 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расчет!$A$67</c:f>
              <c:strCache>
                <c:ptCount val="1"/>
                <c:pt idx="0">
                  <c:v>yD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расчет!$B$67:$IV$67</c:f>
              <c:numCache>
                <c:ptCount val="25"/>
                <c:pt idx="0">
                  <c:v>2</c:v>
                </c:pt>
                <c:pt idx="1">
                  <c:v>2.2106008171224696</c:v>
                </c:pt>
                <c:pt idx="2">
                  <c:v>2.366657733950805</c:v>
                </c:pt>
                <c:pt idx="3">
                  <c:v>2.4537367586886156</c:v>
                </c:pt>
                <c:pt idx="4">
                  <c:v>2.4640867937645394</c:v>
                </c:pt>
                <c:pt idx="5">
                  <c:v>2.39736419898437</c:v>
                </c:pt>
                <c:pt idx="6">
                  <c:v>2.260124279237827</c:v>
                </c:pt>
                <c:pt idx="7">
                  <c:v>2.0645702308875253</c:v>
                </c:pt>
                <c:pt idx="8">
                  <c:v>1.8270022518205544</c:v>
                </c:pt>
                <c:pt idx="9">
                  <c:v>1.5661895479226162</c:v>
                </c:pt>
                <c:pt idx="10">
                  <c:v>1.3017227428062577</c:v>
                </c:pt>
                <c:pt idx="11">
                  <c:v>1.0523751494908515</c:v>
                </c:pt>
                <c:pt idx="12">
                  <c:v>0.8345806414126737</c:v>
                </c:pt>
                <c:pt idx="13">
                  <c:v>0.6612427252871327</c:v>
                </c:pt>
                <c:pt idx="14">
                  <c:v>0.5411179684184406</c:v>
                </c:pt>
                <c:pt idx="15">
                  <c:v>0.47889026598712037</c:v>
                </c:pt>
                <c:pt idx="16">
                  <c:v>0.47580689508251806</c:v>
                </c:pt>
                <c:pt idx="17">
                  <c:v>0.530534607074179</c:v>
                </c:pt>
                <c:pt idx="18">
                  <c:v>0.6398476222489071</c:v>
                </c:pt>
                <c:pt idx="19">
                  <c:v>0.7988777828715226</c:v>
                </c:pt>
                <c:pt idx="20">
                  <c:v>1.0008477064830896</c:v>
                </c:pt>
                <c:pt idx="21">
                  <c:v>1.2364042476793733</c:v>
                </c:pt>
                <c:pt idx="22">
                  <c:v>1.4928655337684082</c:v>
                </c:pt>
                <c:pt idx="23">
                  <c:v>1.7538738370173736</c:v>
                </c:pt>
                <c:pt idx="24">
                  <c:v>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расчет!$A$69</c:f>
              <c:strCache>
                <c:ptCount val="1"/>
                <c:pt idx="0">
                  <c:v>yDt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расчет!$B$69:$IV$69</c:f>
              <c:numCache>
                <c:ptCount val="25"/>
                <c:pt idx="0">
                  <c:v>0.8853073655808146</c:v>
                </c:pt>
                <c:pt idx="1">
                  <c:v>0.7112583068042113</c:v>
                </c:pt>
                <c:pt idx="2">
                  <c:v>0.471601219317267</c:v>
                </c:pt>
                <c:pt idx="3">
                  <c:v>0.1886547873182169</c:v>
                </c:pt>
                <c:pt idx="4">
                  <c:v>-0.1097675736944985</c:v>
                </c:pt>
                <c:pt idx="5">
                  <c:v>-0.3956983507012192</c:v>
                </c:pt>
                <c:pt idx="6">
                  <c:v>-0.644867986648449</c:v>
                </c:pt>
                <c:pt idx="7">
                  <c:v>-0.8385739412857565</c:v>
                </c:pt>
                <c:pt idx="8">
                  <c:v>-0.9642579123930004</c:v>
                </c:pt>
                <c:pt idx="9">
                  <c:v>-1.0156273458303533</c:v>
                </c:pt>
                <c:pt idx="10">
                  <c:v>-0.992699782638162</c:v>
                </c:pt>
                <c:pt idx="11">
                  <c:v>-0.9016350862885159</c:v>
                </c:pt>
                <c:pt idx="12">
                  <c:v>-0.7539372336867953</c:v>
                </c:pt>
                <c:pt idx="13">
                  <c:v>-0.5646982563239941</c:v>
                </c:pt>
                <c:pt idx="14">
                  <c:v>-0.3500493301520542</c:v>
                </c:pt>
                <c:pt idx="15">
                  <c:v>-0.12459956755936476</c:v>
                </c:pt>
                <c:pt idx="16">
                  <c:v>0.10014922880249348</c:v>
                </c:pt>
                <c:pt idx="17">
                  <c:v>0.31586946770874463</c:v>
                </c:pt>
                <c:pt idx="18">
                  <c:v>0.5161393425584883</c:v>
                </c:pt>
                <c:pt idx="19">
                  <c:v>0.6944922541566151</c:v>
                </c:pt>
                <c:pt idx="20">
                  <c:v>0.8425424827509792</c:v>
                </c:pt>
                <c:pt idx="21">
                  <c:v>0.9489309539658853</c:v>
                </c:pt>
                <c:pt idx="22">
                  <c:v>0.9998401801600463</c:v>
                </c:pt>
                <c:pt idx="23">
                  <c:v>0.9816267780784</c:v>
                </c:pt>
                <c:pt idx="24">
                  <c:v>0.885307365580815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расчет!$A$71</c:f>
              <c:strCache>
                <c:ptCount val="1"/>
                <c:pt idx="0">
                  <c:v>yDtt =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расчет!$B$71:$IV$71</c:f>
              <c:numCache>
                <c:ptCount val="25"/>
                <c:pt idx="0">
                  <c:v>-0.520275337763025</c:v>
                </c:pt>
                <c:pt idx="1">
                  <c:v>-0.8015377518482664</c:v>
                </c:pt>
                <c:pt idx="2">
                  <c:v>-1.0147726479390602</c:v>
                </c:pt>
                <c:pt idx="3">
                  <c:v>-1.128710855988387</c:v>
                </c:pt>
                <c:pt idx="4">
                  <c:v>-1.1330147941210738</c:v>
                </c:pt>
                <c:pt idx="5">
                  <c:v>-1.0357741577024357</c:v>
                </c:pt>
                <c:pt idx="6">
                  <c:v>-0.855806986535961</c:v>
                </c:pt>
                <c:pt idx="7">
                  <c:v>-0.6159983297925624</c:v>
                </c:pt>
                <c:pt idx="8">
                  <c:v>-0.3401460916409278</c:v>
                </c:pt>
                <c:pt idx="9">
                  <c:v>-0.05230493618229178</c:v>
                </c:pt>
                <c:pt idx="10">
                  <c:v>0.22348999470715214</c:v>
                </c:pt>
                <c:pt idx="11">
                  <c:v>0.4647563848129108</c:v>
                </c:pt>
                <c:pt idx="12">
                  <c:v>0.6537941348562349</c:v>
                </c:pt>
                <c:pt idx="13">
                  <c:v>0.7814424698864254</c:v>
                </c:pt>
                <c:pt idx="14">
                  <c:v>0.848947758721098</c:v>
                </c:pt>
                <c:pt idx="15">
                  <c:v>0.8660372476837445</c:v>
                </c:pt>
                <c:pt idx="16">
                  <c:v>0.8457029381427588</c:v>
                </c:pt>
                <c:pt idx="17">
                  <c:v>0.7983212554090368</c:v>
                </c:pt>
                <c:pt idx="18">
                  <c:v>0.7276370592852038</c:v>
                </c:pt>
                <c:pt idx="19">
                  <c:v>0.6296144665555088</c:v>
                </c:pt>
                <c:pt idx="20">
                  <c:v>0.4941478048253572</c:v>
                </c:pt>
                <c:pt idx="21">
                  <c:v>0.30963497546067037</c:v>
                </c:pt>
                <c:pt idx="22">
                  <c:v>0.07029616883882003</c:v>
                </c:pt>
                <c:pt idx="23">
                  <c:v>-0.21548076967093013</c:v>
                </c:pt>
                <c:pt idx="24">
                  <c:v>-0.5202753377630246</c:v>
                </c:pt>
              </c:numCache>
            </c:numRef>
          </c:val>
          <c:smooth val="1"/>
        </c:ser>
        <c:axId val="58419242"/>
        <c:axId val="56011131"/>
      </c:lineChart>
      <c:catAx>
        <c:axId val="58419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011131"/>
        <c:crosses val="autoZero"/>
        <c:auto val="0"/>
        <c:lblOffset val="100"/>
        <c:noMultiLvlLbl val="0"/>
      </c:catAx>
      <c:valAx>
        <c:axId val="560111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41924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Точка К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расчет!$A$91</c:f>
              <c:strCache>
                <c:ptCount val="1"/>
                <c:pt idx="0">
                  <c:v>xК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расчет!$B$91:$IV$91</c:f>
              <c:numCache>
                <c:ptCount val="25"/>
                <c:pt idx="0">
                  <c:v>-0.5355339059327378</c:v>
                </c:pt>
                <c:pt idx="1">
                  <c:v>-0.34840997803436025</c:v>
                </c:pt>
                <c:pt idx="2">
                  <c:v>-0.20862402433621446</c:v>
                </c:pt>
                <c:pt idx="3">
                  <c:v>-0.1302371562178411</c:v>
                </c:pt>
                <c:pt idx="4">
                  <c:v>-0.12090187582303441</c:v>
                </c:pt>
                <c:pt idx="5">
                  <c:v>-0.18101411118587474</c:v>
                </c:pt>
                <c:pt idx="6">
                  <c:v>-0.3041477726874744</c:v>
                </c:pt>
                <c:pt idx="7">
                  <c:v>-0.47836395854691005</c:v>
                </c:pt>
                <c:pt idx="8">
                  <c:v>-0.6876513152190691</c:v>
                </c:pt>
                <c:pt idx="9">
                  <c:v>-0.9130104169829627</c:v>
                </c:pt>
                <c:pt idx="10">
                  <c:v>-1.133477593681893</c:v>
                </c:pt>
                <c:pt idx="11">
                  <c:v>-1.3282647771921852</c:v>
                </c:pt>
                <c:pt idx="12">
                  <c:v>-1.481035101029896</c:v>
                </c:pt>
                <c:pt idx="13">
                  <c:v>-1.5849764171527507</c:v>
                </c:pt>
                <c:pt idx="14">
                  <c:v>-1.6444558960257356</c:v>
                </c:pt>
                <c:pt idx="15">
                  <c:v>-1.6703109433470211</c:v>
                </c:pt>
                <c:pt idx="16">
                  <c:v>-1.6714946761854235</c:v>
                </c:pt>
                <c:pt idx="17">
                  <c:v>-1.6491096835724408</c:v>
                </c:pt>
                <c:pt idx="18">
                  <c:v>-1.5964110385521022</c:v>
                </c:pt>
                <c:pt idx="19">
                  <c:v>-1.5039348880999588</c:v>
                </c:pt>
                <c:pt idx="20">
                  <c:v>-1.3661806888500216</c:v>
                </c:pt>
                <c:pt idx="21">
                  <c:v>-1.1860326487476032</c:v>
                </c:pt>
                <c:pt idx="22">
                  <c:v>-0.9751522809910613</c:v>
                </c:pt>
                <c:pt idx="23">
                  <c:v>-0.7514011720137054</c:v>
                </c:pt>
                <c:pt idx="24">
                  <c:v>-0.5355339059327378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расчет!$A$96</c:f>
              <c:strCache>
                <c:ptCount val="1"/>
                <c:pt idx="0">
                  <c:v>xКt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расчет!$B$96:$IV$96</c:f>
              <c:numCache>
                <c:ptCount val="25"/>
                <c:pt idx="0">
                  <c:v>0.7825085520457399</c:v>
                </c:pt>
                <c:pt idx="1">
                  <c:v>0.6350274836017967</c:v>
                </c:pt>
                <c:pt idx="2">
                  <c:v>0.4237804296925209</c:v>
                </c:pt>
                <c:pt idx="3">
                  <c:v>0.17012263304459282</c:v>
                </c:pt>
                <c:pt idx="4">
                  <c:v>-0.09902638997578228</c:v>
                </c:pt>
                <c:pt idx="5">
                  <c:v>-0.3560151949727493</c:v>
                </c:pt>
                <c:pt idx="6">
                  <c:v>-0.5769591607726963</c:v>
                </c:pt>
                <c:pt idx="7">
                  <c:v>-0.7436945900822247</c:v>
                </c:pt>
                <c:pt idx="8">
                  <c:v>-0.8429945213559807</c:v>
                </c:pt>
                <c:pt idx="9">
                  <c:v>-0.8651535327943968</c:v>
                </c:pt>
                <c:pt idx="10">
                  <c:v>-0.8055755244199833</c:v>
                </c:pt>
                <c:pt idx="11">
                  <c:v>-0.6717195027382841</c:v>
                </c:pt>
                <c:pt idx="12">
                  <c:v>-0.4908810266627825</c:v>
                </c:pt>
                <c:pt idx="13">
                  <c:v>-0.3062820487233594</c:v>
                </c:pt>
                <c:pt idx="14">
                  <c:v>-0.15560546951045534</c:v>
                </c:pt>
                <c:pt idx="15">
                  <c:v>-0.04802695649154433</c:v>
                </c:pt>
                <c:pt idx="16">
                  <c:v>0.03829349661423234</c:v>
                </c:pt>
                <c:pt idx="17">
                  <c:v>0.1373718955431259</c:v>
                </c:pt>
                <c:pt idx="18">
                  <c:v>0.27170498659411935</c:v>
                </c:pt>
                <c:pt idx="19">
                  <c:v>0.4385617774775223</c:v>
                </c:pt>
                <c:pt idx="20">
                  <c:v>0.6119787598779592</c:v>
                </c:pt>
                <c:pt idx="21">
                  <c:v>0.7566383163185605</c:v>
                </c:pt>
                <c:pt idx="22">
                  <c:v>0.8427757705171952</c:v>
                </c:pt>
                <c:pt idx="23">
                  <c:v>0.8531698171728694</c:v>
                </c:pt>
                <c:pt idx="24">
                  <c:v>0.7825085520457403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расчет!$A$98</c:f>
              <c:strCache>
                <c:ptCount val="1"/>
                <c:pt idx="0">
                  <c:v>xКtt =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расчет!$B$98:$IV$98</c:f>
              <c:numCache>
                <c:ptCount val="25"/>
                <c:pt idx="0">
                  <c:v>0.08401256426665632</c:v>
                </c:pt>
                <c:pt idx="1">
                  <c:v>-0.2693873243390268</c:v>
                </c:pt>
                <c:pt idx="2">
                  <c:v>-0.6299074818773867</c:v>
                </c:pt>
                <c:pt idx="3">
                  <c:v>-0.9198983737517555</c:v>
                </c:pt>
                <c:pt idx="4">
                  <c:v>-1.0653555886595474</c:v>
                </c:pt>
                <c:pt idx="5">
                  <c:v>-1.0227534742997189</c:v>
                </c:pt>
                <c:pt idx="6">
                  <c:v>-0.789074099181367</c:v>
                </c:pt>
                <c:pt idx="7">
                  <c:v>-0.39669084869514665</c:v>
                </c:pt>
                <c:pt idx="8">
                  <c:v>0.09515627920123737</c:v>
                </c:pt>
                <c:pt idx="9">
                  <c:v>0.603550449294881</c:v>
                </c:pt>
                <c:pt idx="10">
                  <c:v>1.0232276801761997</c:v>
                </c:pt>
                <c:pt idx="11">
                  <c:v>1.2447855394277834</c:v>
                </c:pt>
                <c:pt idx="12">
                  <c:v>1.2066883182059376</c:v>
                </c:pt>
                <c:pt idx="13">
                  <c:v>0.9532593987212739</c:v>
                </c:pt>
                <c:pt idx="14">
                  <c:v>0.6278646081108433</c:v>
                </c:pt>
                <c:pt idx="15">
                  <c:v>0.3864419632576683</c:v>
                </c:pt>
                <c:pt idx="16">
                  <c:v>0.311095560392662</c:v>
                </c:pt>
                <c:pt idx="17">
                  <c:v>0.38841661269256633</c:v>
                </c:pt>
                <c:pt idx="18">
                  <c:v>0.5417189492794899</c:v>
                </c:pt>
                <c:pt idx="19">
                  <c:v>0.6811391091931178</c:v>
                </c:pt>
                <c:pt idx="20">
                  <c:v>0.7448806264861607</c:v>
                </c:pt>
                <c:pt idx="21">
                  <c:v>0.7124336350057137</c:v>
                </c:pt>
                <c:pt idx="22">
                  <c:v>0.587863384553347</c:v>
                </c:pt>
                <c:pt idx="23">
                  <c:v>0.3768715130497213</c:v>
                </c:pt>
                <c:pt idx="24">
                  <c:v>0.08401256426665697</c:v>
                </c:pt>
              </c:numCache>
            </c:numRef>
          </c:val>
          <c:smooth val="1"/>
        </c:ser>
        <c:axId val="34338132"/>
        <c:axId val="40607733"/>
      </c:lineChart>
      <c:catAx>
        <c:axId val="34338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607733"/>
        <c:crosses val="autoZero"/>
        <c:auto val="0"/>
        <c:lblOffset val="100"/>
        <c:noMultiLvlLbl val="0"/>
      </c:catAx>
      <c:valAx>
        <c:axId val="406077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33813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расчет!$A$177</c:f>
              <c:strCache>
                <c:ptCount val="1"/>
                <c:pt idx="0">
                  <c:v>Wk6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расчет!$B$177:$IV$177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расчет!$A$178</c:f>
              <c:strCache>
                <c:ptCount val="1"/>
                <c:pt idx="0">
                  <c:v>Wk6 числ=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расчет!$B$178:$IV$178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2184330"/>
        <c:axId val="44114651"/>
      </c:lineChart>
      <c:catAx>
        <c:axId val="4218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14651"/>
        <c:crosses val="autoZero"/>
        <c:auto val="1"/>
        <c:lblOffset val="100"/>
        <c:noMultiLvlLbl val="0"/>
      </c:catAx>
      <c:valAx>
        <c:axId val="44114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84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Точка 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9775"/>
          <c:w val="0.797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расчет!$A$92</c:f>
              <c:strCache>
                <c:ptCount val="1"/>
                <c:pt idx="0">
                  <c:v>yК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расчет!$B$92:$IV$92</c:f>
              <c:numCache>
                <c:ptCount val="25"/>
                <c:pt idx="0">
                  <c:v>5.535533905932738</c:v>
                </c:pt>
                <c:pt idx="1">
                  <c:v>5.920980839755964</c:v>
                </c:pt>
                <c:pt idx="2">
                  <c:v>6.193271675174014</c:v>
                </c:pt>
                <c:pt idx="3">
                  <c:v>6.340797126933853</c:v>
                </c:pt>
                <c:pt idx="4">
                  <c:v>6.358134095291408</c:v>
                </c:pt>
                <c:pt idx="5">
                  <c:v>6.245637850499629</c:v>
                </c:pt>
                <c:pt idx="6">
                  <c:v>6.008541805031814</c:v>
                </c:pt>
                <c:pt idx="7">
                  <c:v>5.656075802167932</c:v>
                </c:pt>
                <c:pt idx="8">
                  <c:v>5.201236148831396</c:v>
                </c:pt>
                <c:pt idx="9">
                  <c:v>4.661810309375232</c:v>
                </c:pt>
                <c:pt idx="10">
                  <c:v>4.062973016529711</c:v>
                </c:pt>
                <c:pt idx="11">
                  <c:v>3.440712229116164</c:v>
                </c:pt>
                <c:pt idx="12">
                  <c:v>2.8433662581028725</c:v>
                </c:pt>
                <c:pt idx="13">
                  <c:v>2.327504530524465</c:v>
                </c:pt>
                <c:pt idx="14">
                  <c:v>1.9473852019378535</c:v>
                </c:pt>
                <c:pt idx="15">
                  <c:v>1.7429428641481965</c:v>
                </c:pt>
                <c:pt idx="16">
                  <c:v>1.732677751718458</c:v>
                </c:pt>
                <c:pt idx="17">
                  <c:v>1.9129804289786936</c:v>
                </c:pt>
                <c:pt idx="18">
                  <c:v>2.2611874550125743</c:v>
                </c:pt>
                <c:pt idx="19">
                  <c:v>2.740165874011654</c:v>
                </c:pt>
                <c:pt idx="20">
                  <c:v>3.3042021337709926</c:v>
                </c:pt>
                <c:pt idx="21">
                  <c:v>3.9057971583346367</c:v>
                </c:pt>
                <c:pt idx="22">
                  <c:v>4.501450532340304</c:v>
                </c:pt>
                <c:pt idx="23">
                  <c:v>5.054554948388864</c:v>
                </c:pt>
                <c:pt idx="24">
                  <c:v>5.535533905932738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расчет!$A$97</c:f>
              <c:strCache>
                <c:ptCount val="1"/>
                <c:pt idx="0">
                  <c:v>yКt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расчет!$B$97:$IV$97</c:f>
              <c:numCache>
                <c:ptCount val="25"/>
                <c:pt idx="0">
                  <c:v>1.6678159176265543</c:v>
                </c:pt>
                <c:pt idx="1">
                  <c:v>1.265539100007854</c:v>
                </c:pt>
                <c:pt idx="2">
                  <c:v>0.8072026710444324</c:v>
                </c:pt>
                <c:pt idx="3">
                  <c:v>0.31638353183299484</c:v>
                </c:pt>
                <c:pt idx="4">
                  <c:v>-0.18365017537321932</c:v>
                </c:pt>
                <c:pt idx="5">
                  <c:v>-0.6723641041446575</c:v>
                </c:pt>
                <c:pt idx="6">
                  <c:v>-1.1330200116309281</c:v>
                </c:pt>
                <c:pt idx="7">
                  <c:v>-1.5514093653720717</c:v>
                </c:pt>
                <c:pt idx="8">
                  <c:v>-1.9121557799791127</c:v>
                </c:pt>
                <c:pt idx="9">
                  <c:v>-2.1929707732092845</c:v>
                </c:pt>
                <c:pt idx="10">
                  <c:v>-2.359038126019411</c:v>
                </c:pt>
                <c:pt idx="11">
                  <c:v>-2.363662644648624</c:v>
                </c:pt>
                <c:pt idx="12">
                  <c:v>-2.1629865670725774</c:v>
                </c:pt>
                <c:pt idx="13">
                  <c:v>-1.7425288586695338</c:v>
                </c:pt>
                <c:pt idx="14">
                  <c:v>-1.1354816141577326</c:v>
                </c:pt>
                <c:pt idx="15">
                  <c:v>-0.4145568852208419</c:v>
                </c:pt>
                <c:pt idx="16">
                  <c:v>0.3336228162103078</c:v>
                </c:pt>
                <c:pt idx="17">
                  <c:v>1.0290712230916002</c:v>
                </c:pt>
                <c:pt idx="18">
                  <c:v>1.6070191883970155</c:v>
                </c:pt>
                <c:pt idx="19">
                  <c:v>2.0225508462822153</c:v>
                </c:pt>
                <c:pt idx="20">
                  <c:v>2.25574054135484</c:v>
                </c:pt>
                <c:pt idx="21">
                  <c:v>2.3122316553999114</c:v>
                </c:pt>
                <c:pt idx="22">
                  <c:v>2.214931008925914</c:v>
                </c:pt>
                <c:pt idx="23">
                  <c:v>1.991716405324359</c:v>
                </c:pt>
                <c:pt idx="24">
                  <c:v>1.6678159176265552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расчет!$A$99</c:f>
              <c:strCache>
                <c:ptCount val="1"/>
                <c:pt idx="0">
                  <c:v>yКtt =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расчет!$B$99:$IV$99</c:f>
              <c:numCache>
                <c:ptCount val="25"/>
                <c:pt idx="0">
                  <c:v>-0.8946100846674963</c:v>
                </c:pt>
                <c:pt idx="1">
                  <c:v>-1.2727336025767424</c:v>
                </c:pt>
                <c:pt idx="2">
                  <c:v>-1.5976462109766265</c:v>
                </c:pt>
                <c:pt idx="3">
                  <c:v>-1.8284150463793625</c:v>
                </c:pt>
                <c:pt idx="4">
                  <c:v>-1.9353874949658925</c:v>
                </c:pt>
                <c:pt idx="5">
                  <c:v>-1.902777515866109</c:v>
                </c:pt>
                <c:pt idx="6">
                  <c:v>-1.7219836701203686</c:v>
                </c:pt>
                <c:pt idx="7">
                  <c:v>-1.38432798346069</c:v>
                </c:pt>
                <c:pt idx="8">
                  <c:v>-0.8796417913582033</c:v>
                </c:pt>
                <c:pt idx="9">
                  <c:v>-0.2049710043096677</c:v>
                </c:pt>
                <c:pt idx="10">
                  <c:v>0.613471741552178</c:v>
                </c:pt>
                <c:pt idx="11">
                  <c:v>1.491833125014658</c:v>
                </c:pt>
                <c:pt idx="12">
                  <c:v>2.2842129227567254</c:v>
                </c:pt>
                <c:pt idx="13">
                  <c:v>2.8363038509646032</c:v>
                </c:pt>
                <c:pt idx="14">
                  <c:v>3.068249380883595</c:v>
                </c:pt>
                <c:pt idx="15">
                  <c:v>3.0026314211670617</c:v>
                </c:pt>
                <c:pt idx="16">
                  <c:v>2.717776351802421</c:v>
                </c:pt>
                <c:pt idx="17">
                  <c:v>2.292741724357742</c:v>
                </c:pt>
                <c:pt idx="18">
                  <c:v>1.7905877780886659</c:v>
                </c:pt>
                <c:pt idx="19">
                  <c:v>1.2657721601722176</c:v>
                </c:pt>
                <c:pt idx="20">
                  <c:v>0.7644650958500325</c:v>
                </c:pt>
                <c:pt idx="21">
                  <c:v>0.31055488077039595</c:v>
                </c:pt>
                <c:pt idx="22">
                  <c:v>-0.1029415256397373</c:v>
                </c:pt>
                <c:pt idx="23">
                  <c:v>-0.5000604926307466</c:v>
                </c:pt>
                <c:pt idx="24">
                  <c:v>-0.8946100846674956</c:v>
                </c:pt>
              </c:numCache>
            </c:numRef>
          </c:val>
          <c:smooth val="1"/>
        </c:ser>
        <c:axId val="29925278"/>
        <c:axId val="892047"/>
      </c:lineChart>
      <c:catAx>
        <c:axId val="29925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92047"/>
        <c:crosses val="autoZero"/>
        <c:auto val="0"/>
        <c:lblOffset val="100"/>
        <c:noMultiLvlLbl val="0"/>
      </c:catAx>
      <c:valAx>
        <c:axId val="8920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92527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25"/>
          <c:y val="0.4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Траектория движения точки А</a:t>
            </a:r>
          </a:p>
        </c:rich>
      </c:tx>
      <c:layout>
        <c:manualLayout>
          <c:xMode val="factor"/>
          <c:yMode val="factor"/>
          <c:x val="0.00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65"/>
          <c:w val="0.809"/>
          <c:h val="0.78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расчет!$A$25</c:f>
              <c:strCache>
                <c:ptCount val="1"/>
                <c:pt idx="0">
                  <c:v>yA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расчет!$B$24:$IV$24</c:f>
              <c:numCache>
                <c:ptCount val="25"/>
                <c:pt idx="0">
                  <c:v>0.9986295347545738</c:v>
                </c:pt>
                <c:pt idx="1">
                  <c:v>0.9510565162951535</c:v>
                </c:pt>
                <c:pt idx="2">
                  <c:v>0.838670567945424</c:v>
                </c:pt>
                <c:pt idx="3">
                  <c:v>0.6691306063588582</c:v>
                </c:pt>
                <c:pt idx="4">
                  <c:v>0.45399049973954686</c:v>
                </c:pt>
                <c:pt idx="5">
                  <c:v>0.20791169081775931</c:v>
                </c:pt>
                <c:pt idx="6">
                  <c:v>-0.05233595624294377</c:v>
                </c:pt>
                <c:pt idx="7">
                  <c:v>-0.3090169943749475</c:v>
                </c:pt>
                <c:pt idx="8">
                  <c:v>-0.5446390350150269</c:v>
                </c:pt>
                <c:pt idx="9">
                  <c:v>-0.7431448254773941</c:v>
                </c:pt>
                <c:pt idx="10">
                  <c:v>-0.8910065241883678</c:v>
                </c:pt>
                <c:pt idx="11">
                  <c:v>-0.9781476007338055</c:v>
                </c:pt>
                <c:pt idx="12">
                  <c:v>-0.9986295347545738</c:v>
                </c:pt>
                <c:pt idx="13">
                  <c:v>-0.9510565162951535</c:v>
                </c:pt>
                <c:pt idx="14">
                  <c:v>-0.8386705679454238</c:v>
                </c:pt>
                <c:pt idx="15">
                  <c:v>-0.6691306063588583</c:v>
                </c:pt>
                <c:pt idx="16">
                  <c:v>-0.45399049973954725</c:v>
                </c:pt>
                <c:pt idx="17">
                  <c:v>-0.2079116908177592</c:v>
                </c:pt>
                <c:pt idx="18">
                  <c:v>0.052335956242943654</c:v>
                </c:pt>
                <c:pt idx="19">
                  <c:v>0.309016994374947</c:v>
                </c:pt>
                <c:pt idx="20">
                  <c:v>0.5446390350150272</c:v>
                </c:pt>
                <c:pt idx="21">
                  <c:v>0.743144825477394</c:v>
                </c:pt>
                <c:pt idx="22">
                  <c:v>0.8910065241883676</c:v>
                </c:pt>
                <c:pt idx="23">
                  <c:v>0.9781476007338056</c:v>
                </c:pt>
                <c:pt idx="24">
                  <c:v>0.9986295347545738</c:v>
                </c:pt>
              </c:numCache>
            </c:numRef>
          </c:xVal>
          <c:yVal>
            <c:numRef>
              <c:f>расчет!$B$25:$IV$25</c:f>
              <c:numCache>
                <c:ptCount val="25"/>
                <c:pt idx="0">
                  <c:v>0.052335956242943835</c:v>
                </c:pt>
                <c:pt idx="1">
                  <c:v>0.3090169943749474</c:v>
                </c:pt>
                <c:pt idx="2">
                  <c:v>0.544639035015027</c:v>
                </c:pt>
                <c:pt idx="3">
                  <c:v>0.7431448254773941</c:v>
                </c:pt>
                <c:pt idx="4">
                  <c:v>0.8910065241883678</c:v>
                </c:pt>
                <c:pt idx="5">
                  <c:v>0.9781476007338056</c:v>
                </c:pt>
                <c:pt idx="6">
                  <c:v>0.9986295347545738</c:v>
                </c:pt>
                <c:pt idx="7">
                  <c:v>0.9510565162951535</c:v>
                </c:pt>
                <c:pt idx="8">
                  <c:v>0.838670567945424</c:v>
                </c:pt>
                <c:pt idx="9">
                  <c:v>0.6691306063588582</c:v>
                </c:pt>
                <c:pt idx="10">
                  <c:v>0.4539904997395467</c:v>
                </c:pt>
                <c:pt idx="11">
                  <c:v>0.20791169081775962</c:v>
                </c:pt>
                <c:pt idx="12">
                  <c:v>-0.05233595624294371</c:v>
                </c:pt>
                <c:pt idx="13">
                  <c:v>-0.30901699437494745</c:v>
                </c:pt>
                <c:pt idx="14">
                  <c:v>-0.5446390350150272</c:v>
                </c:pt>
                <c:pt idx="15">
                  <c:v>-0.7431448254773941</c:v>
                </c:pt>
                <c:pt idx="16">
                  <c:v>-0.8910065241883676</c:v>
                </c:pt>
                <c:pt idx="17">
                  <c:v>-0.9781476007338056</c:v>
                </c:pt>
                <c:pt idx="18">
                  <c:v>-0.9986295347545738</c:v>
                </c:pt>
                <c:pt idx="19">
                  <c:v>-0.9510565162951536</c:v>
                </c:pt>
                <c:pt idx="20">
                  <c:v>-0.8386705679454238</c:v>
                </c:pt>
                <c:pt idx="21">
                  <c:v>-0.6691306063588583</c:v>
                </c:pt>
                <c:pt idx="22">
                  <c:v>-0.45399049973954725</c:v>
                </c:pt>
                <c:pt idx="23">
                  <c:v>-0.20791169081775926</c:v>
                </c:pt>
                <c:pt idx="24">
                  <c:v>0.05233595624294359</c:v>
                </c:pt>
              </c:numCache>
            </c:numRef>
          </c:yVal>
          <c:smooth val="1"/>
        </c:ser>
        <c:axId val="61487540"/>
        <c:axId val="16516949"/>
      </c:scatterChart>
      <c:valAx>
        <c:axId val="6148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16949"/>
        <c:crosses val="autoZero"/>
        <c:crossBetween val="midCat"/>
        <c:dispUnits/>
      </c:valAx>
      <c:valAx>
        <c:axId val="16516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875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Траектория движения точки В</a:t>
            </a:r>
          </a:p>
        </c:rich>
      </c:tx>
      <c:layout>
        <c:manualLayout>
          <c:xMode val="factor"/>
          <c:yMode val="factor"/>
          <c:x val="0.016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65"/>
          <c:w val="0.809"/>
          <c:h val="0.78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расчет!$A$51</c:f>
              <c:strCache>
                <c:ptCount val="1"/>
                <c:pt idx="0">
                  <c:v>yB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расчет!$B$50:$IV$50</c:f>
              <c:numCache>
                <c:ptCount val="25"/>
                <c:pt idx="0">
                  <c:v>4.384360683071978</c:v>
                </c:pt>
                <c:pt idx="1">
                  <c:v>4.506755544892278</c:v>
                </c:pt>
                <c:pt idx="2">
                  <c:v>4.5967673851891355</c:v>
                </c:pt>
                <c:pt idx="3">
                  <c:v>4.642988983861631</c:v>
                </c:pt>
                <c:pt idx="4">
                  <c:v>4.639590042765907</c:v>
                </c:pt>
                <c:pt idx="5">
                  <c:v>4.587416031827225</c:v>
                </c:pt>
                <c:pt idx="6">
                  <c:v>4.493438768544689</c:v>
                </c:pt>
                <c:pt idx="7">
                  <c:v>4.369012630977119</c:v>
                </c:pt>
                <c:pt idx="8">
                  <c:v>4.22762316317475</c:v>
                </c:pt>
                <c:pt idx="9">
                  <c:v>4.08271051858919</c:v>
                </c:pt>
                <c:pt idx="10">
                  <c:v>3.945940723115106</c:v>
                </c:pt>
                <c:pt idx="11">
                  <c:v>3.8261246738188532</c:v>
                </c:pt>
                <c:pt idx="12">
                  <c:v>3.728858780963481</c:v>
                </c:pt>
                <c:pt idx="13">
                  <c:v>3.6568370378127533</c:v>
                </c:pt>
                <c:pt idx="14">
                  <c:v>3.6106450487312847</c:v>
                </c:pt>
                <c:pt idx="15">
                  <c:v>3.589739162260494</c:v>
                </c:pt>
                <c:pt idx="16">
                  <c:v>3.593306132777419</c:v>
                </c:pt>
                <c:pt idx="17">
                  <c:v>3.620796251720896</c:v>
                </c:pt>
                <c:pt idx="18">
                  <c:v>3.672051475759272</c:v>
                </c:pt>
                <c:pt idx="19">
                  <c:v>3.747031841087509</c:v>
                </c:pt>
                <c:pt idx="20">
                  <c:v>3.845169433288464</c:v>
                </c:pt>
                <c:pt idx="21">
                  <c:v>3.9644070520605443</c:v>
                </c:pt>
                <c:pt idx="22">
                  <c:v>4.1000816579395805</c:v>
                </c:pt>
                <c:pt idx="23">
                  <c:v>4.244013566436311</c:v>
                </c:pt>
                <c:pt idx="24">
                  <c:v>4.384360683071978</c:v>
                </c:pt>
              </c:numCache>
            </c:numRef>
          </c:xVal>
          <c:yVal>
            <c:numRef>
              <c:f>расчет!$B$51:$IV$51</c:f>
              <c:numCache>
                <c:ptCount val="25"/>
                <c:pt idx="0">
                  <c:v>6.179066290712816</c:v>
                </c:pt>
                <c:pt idx="1">
                  <c:v>6.338693968975948</c:v>
                </c:pt>
                <c:pt idx="2">
                  <c:v>6.450289575998863</c:v>
                </c:pt>
                <c:pt idx="3">
                  <c:v>6.5058221195440185</c:v>
                </c:pt>
                <c:pt idx="4">
                  <c:v>6.501777992125511</c:v>
                </c:pt>
                <c:pt idx="5">
                  <c:v>6.438911441725216</c:v>
                </c:pt>
                <c:pt idx="6">
                  <c:v>6.321780119838743</c:v>
                </c:pt>
                <c:pt idx="7">
                  <c:v>6.15836280883532</c:v>
                </c:pt>
                <c:pt idx="8">
                  <c:v>5.95975575682179</c:v>
                </c:pt>
                <c:pt idx="9">
                  <c:v>5.739744001022663</c:v>
                </c:pt>
                <c:pt idx="10">
                  <c:v>5.5140242275721345</c:v>
                </c:pt>
                <c:pt idx="11">
                  <c:v>5.298979153734021</c:v>
                </c:pt>
                <c:pt idx="12">
                  <c:v>5.1101105785648775</c:v>
                </c:pt>
                <c:pt idx="13">
                  <c:v>4.960453282039069</c:v>
                </c:pt>
                <c:pt idx="14">
                  <c:v>4.859395619129666</c:v>
                </c:pt>
                <c:pt idx="15">
                  <c:v>4.8122154953245015</c:v>
                </c:pt>
                <c:pt idx="16">
                  <c:v>4.820332195272844</c:v>
                </c:pt>
                <c:pt idx="17">
                  <c:v>4.881971467232427</c:v>
                </c:pt>
                <c:pt idx="18">
                  <c:v>4.992836025337768</c:v>
                </c:pt>
                <c:pt idx="19">
                  <c:v>5.146488392418844</c:v>
                </c:pt>
                <c:pt idx="20">
                  <c:v>5.334375607977205</c:v>
                </c:pt>
                <c:pt idx="21">
                  <c:v>5.545647721754588</c:v>
                </c:pt>
                <c:pt idx="22">
                  <c:v>5.767089533979649</c:v>
                </c:pt>
                <c:pt idx="23">
                  <c:v>5.9835436707322245</c:v>
                </c:pt>
                <c:pt idx="24">
                  <c:v>6.179066290712816</c:v>
                </c:pt>
              </c:numCache>
            </c:numRef>
          </c:yVal>
          <c:smooth val="1"/>
        </c:ser>
        <c:axId val="14434814"/>
        <c:axId val="62804463"/>
      </c:scatterChart>
      <c:valAx>
        <c:axId val="144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04463"/>
        <c:crosses val="autoZero"/>
        <c:crossBetween val="midCat"/>
        <c:dispUnits/>
      </c:valAx>
      <c:valAx>
        <c:axId val="62804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48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Траектория движения точки 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расчет!$A$67</c:f>
              <c:strCache>
                <c:ptCount val="1"/>
                <c:pt idx="0">
                  <c:v>yD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расчет!$B$65:$IV$65</c:f>
              <c:numCache>
                <c:ptCount val="25"/>
                <c:pt idx="0">
                  <c:v>3</c:v>
                </c:pt>
                <c:pt idx="1">
                  <c:v>3.0028901069905496</c:v>
                </c:pt>
                <c:pt idx="2">
                  <c:v>3.0084770483989747</c:v>
                </c:pt>
                <c:pt idx="3">
                  <c:v>3.0124041406888935</c:v>
                </c:pt>
                <c:pt idx="4">
                  <c:v>3.0120917763056037</c:v>
                </c:pt>
                <c:pt idx="5">
                  <c:v>3.0077679269401987</c:v>
                </c:pt>
                <c:pt idx="6">
                  <c:v>3.0023046618395837</c:v>
                </c:pt>
                <c:pt idx="7">
                  <c:v>3.0000474426332113</c:v>
                </c:pt>
                <c:pt idx="8">
                  <c:v>3.005190268601365</c:v>
                </c:pt>
                <c:pt idx="9">
                  <c:v>3.0202854925679343</c:v>
                </c:pt>
                <c:pt idx="10">
                  <c:v>3.0453209290739283</c:v>
                </c:pt>
                <c:pt idx="11">
                  <c:v>3.0775843436215986</c:v>
                </c:pt>
                <c:pt idx="12">
                  <c:v>3.1123106470143984</c:v>
                </c:pt>
                <c:pt idx="13">
                  <c:v>3.143879165665725</c:v>
                </c:pt>
                <c:pt idx="14">
                  <c:v>3.167154754589995</c:v>
                </c:pt>
                <c:pt idx="15">
                  <c:v>3.1785503184421735</c:v>
                </c:pt>
                <c:pt idx="16">
                  <c:v>3.1765661174037705</c:v>
                </c:pt>
                <c:pt idx="17">
                  <c:v>3.1618204015660085</c:v>
                </c:pt>
                <c:pt idx="18">
                  <c:v>3.136751903522443</c:v>
                </c:pt>
                <c:pt idx="19">
                  <c:v>3.1051717977764612</c:v>
                </c:pt>
                <c:pt idx="20">
                  <c:v>3.0717306823816752</c:v>
                </c:pt>
                <c:pt idx="21">
                  <c:v>3.041255723978627</c:v>
                </c:pt>
                <c:pt idx="22">
                  <c:v>3.0178956723013286</c:v>
                </c:pt>
                <c:pt idx="23">
                  <c:v>3.0041376005765725</c:v>
                </c:pt>
                <c:pt idx="24">
                  <c:v>3</c:v>
                </c:pt>
              </c:numCache>
            </c:numRef>
          </c:xVal>
          <c:yVal>
            <c:numRef>
              <c:f>расчет!$B$67:$IV$67</c:f>
              <c:numCache>
                <c:ptCount val="25"/>
                <c:pt idx="0">
                  <c:v>2</c:v>
                </c:pt>
                <c:pt idx="1">
                  <c:v>2.201129672473436</c:v>
                </c:pt>
                <c:pt idx="2">
                  <c:v>2.3443934047511448</c:v>
                </c:pt>
                <c:pt idx="3">
                  <c:v>2.4165382418677566</c:v>
                </c:pt>
                <c:pt idx="4">
                  <c:v>2.411264704568995</c:v>
                </c:pt>
                <c:pt idx="5">
                  <c:v>2.329682629924336</c:v>
                </c:pt>
                <c:pt idx="6">
                  <c:v>2.1796105628519147</c:v>
                </c:pt>
                <c:pt idx="7">
                  <c:v>1.9742280265762457</c:v>
                </c:pt>
                <c:pt idx="8">
                  <c:v>1.730487808196092</c:v>
                </c:pt>
                <c:pt idx="9">
                  <c:v>1.4674726347478804</c:v>
                </c:pt>
                <c:pt idx="10">
                  <c:v>1.2047396524264062</c:v>
                </c:pt>
                <c:pt idx="11">
                  <c:v>0.960691826103925</c:v>
                </c:pt>
                <c:pt idx="12">
                  <c:v>0.7511063388867831</c:v>
                </c:pt>
                <c:pt idx="13">
                  <c:v>0.5880484763960647</c:v>
                </c:pt>
                <c:pt idx="14">
                  <c:v>0.47939950931288555</c:v>
                </c:pt>
                <c:pt idx="15">
                  <c:v>0.42906898879211663</c:v>
                </c:pt>
                <c:pt idx="16">
                  <c:v>0.43770999816367495</c:v>
                </c:pt>
                <c:pt idx="17">
                  <c:v>0.5035709908047308</c:v>
                </c:pt>
                <c:pt idx="18">
                  <c:v>0.6231101837121498</c:v>
                </c:pt>
                <c:pt idx="19">
                  <c:v>0.7911393538447355</c:v>
                </c:pt>
                <c:pt idx="20">
                  <c:v>1.000457973595648</c:v>
                </c:pt>
                <c:pt idx="21">
                  <c:v>1.241133673866226</c:v>
                </c:pt>
                <c:pt idx="22">
                  <c:v>1.4997808908773234</c:v>
                </c:pt>
                <c:pt idx="23">
                  <c:v>1.7593565119653423</c:v>
                </c:pt>
                <c:pt idx="24">
                  <c:v>2</c:v>
                </c:pt>
              </c:numCache>
            </c:numRef>
          </c:yVal>
          <c:smooth val="1"/>
        </c:ser>
        <c:axId val="28369256"/>
        <c:axId val="53996713"/>
      </c:scatterChart>
      <c:valAx>
        <c:axId val="283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96713"/>
        <c:crosses val="autoZero"/>
        <c:crossBetween val="midCat"/>
        <c:dispUnits/>
      </c:valAx>
      <c:valAx>
        <c:axId val="53996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692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Траектория движения  точки K</a:t>
            </a: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
 </a:t>
            </a:r>
          </a:p>
        </c:rich>
      </c:tx>
      <c:layout>
        <c:manualLayout>
          <c:xMode val="factor"/>
          <c:yMode val="factor"/>
          <c:x val="0.008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625"/>
          <c:w val="0.81075"/>
          <c:h val="0.78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расчет!$A$92</c:f>
              <c:strCache>
                <c:ptCount val="1"/>
                <c:pt idx="0">
                  <c:v>yК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расчет!$B$91:$IV$91</c:f>
              <c:numCache>
                <c:ptCount val="25"/>
                <c:pt idx="0">
                  <c:v>-0.5355339059327378</c:v>
                </c:pt>
                <c:pt idx="1">
                  <c:v>-0.35686430689999954</c:v>
                </c:pt>
                <c:pt idx="2">
                  <c:v>-0.22862172741983522</c:v>
                </c:pt>
                <c:pt idx="3">
                  <c:v>-0.16375628684115562</c:v>
                </c:pt>
                <c:pt idx="4">
                  <c:v>-0.16850412832772188</c:v>
                </c:pt>
                <c:pt idx="5">
                  <c:v>-0.24182497598001906</c:v>
                </c:pt>
                <c:pt idx="6">
                  <c:v>-0.37606023607482925</c:v>
                </c:pt>
                <c:pt idx="7">
                  <c:v>-0.5582971276002819</c:v>
                </c:pt>
                <c:pt idx="8">
                  <c:v>-0.7717060202553967</c:v>
                </c:pt>
                <c:pt idx="9">
                  <c:v>-0.9965128650870423</c:v>
                </c:pt>
                <c:pt idx="10">
                  <c:v>-1.211161558968202</c:v>
                </c:pt>
                <c:pt idx="11">
                  <c:v>-1.3950317122506668</c:v>
                </c:pt>
                <c:pt idx="12">
                  <c:v>-1.533433787939093</c:v>
                </c:pt>
                <c:pt idx="13">
                  <c:v>-1.6226272804814383</c:v>
                </c:pt>
                <c:pt idx="14">
                  <c:v>-1.670114525869951</c:v>
                </c:pt>
                <c:pt idx="15">
                  <c:v>-1.688241920917769</c:v>
                </c:pt>
                <c:pt idx="16">
                  <c:v>-1.6853184326762443</c:v>
                </c:pt>
                <c:pt idx="17">
                  <c:v>-1.6604976792518527</c:v>
                </c:pt>
                <c:pt idx="18">
                  <c:v>-1.6051143615164578</c:v>
                </c:pt>
                <c:pt idx="19">
                  <c:v>-1.508804503026711</c:v>
                </c:pt>
                <c:pt idx="20">
                  <c:v>-1.3664637414412864</c:v>
                </c:pt>
                <c:pt idx="21">
                  <c:v>-1.1822590113971754</c:v>
                </c:pt>
                <c:pt idx="22">
                  <c:v>-0.9693201146141467</c:v>
                </c:pt>
                <c:pt idx="23">
                  <c:v>-0.7466348433606563</c:v>
                </c:pt>
                <c:pt idx="24">
                  <c:v>-0.5355339059327378</c:v>
                </c:pt>
              </c:numCache>
            </c:numRef>
          </c:xVal>
          <c:yVal>
            <c:numRef>
              <c:f>расчет!$B$92:$IV$92</c:f>
              <c:numCache>
                <c:ptCount val="25"/>
                <c:pt idx="0">
                  <c:v>5.535533905932738</c:v>
                </c:pt>
                <c:pt idx="1">
                  <c:v>5.904108240915734</c:v>
                </c:pt>
                <c:pt idx="2">
                  <c:v>6.155061524069904</c:v>
                </c:pt>
                <c:pt idx="3">
                  <c:v>6.278144764882775</c:v>
                </c:pt>
                <c:pt idx="4">
                  <c:v>6.269218785611137</c:v>
                </c:pt>
                <c:pt idx="5">
                  <c:v>6.129701835835084</c:v>
                </c:pt>
                <c:pt idx="6">
                  <c:v>5.865617971490662</c:v>
                </c:pt>
                <c:pt idx="7">
                  <c:v>5.486803138867771</c:v>
                </c:pt>
                <c:pt idx="8">
                  <c:v>5.006927098526377</c:v>
                </c:pt>
                <c:pt idx="9">
                  <c:v>4.44494319781652</c:v>
                </c:pt>
                <c:pt idx="10">
                  <c:v>3.82816428999286</c:v>
                </c:pt>
                <c:pt idx="11">
                  <c:v>3.195799344044308</c:v>
                </c:pt>
                <c:pt idx="12">
                  <c:v>2.59963511742897</c:v>
                </c:pt>
                <c:pt idx="13">
                  <c:v>2.098153207478497</c:v>
                </c:pt>
                <c:pt idx="14">
                  <c:v>1.744637000189012</c:v>
                </c:pt>
                <c:pt idx="15">
                  <c:v>1.5755127505640758</c:v>
                </c:pt>
                <c:pt idx="16">
                  <c:v>1.6047912385635261</c:v>
                </c:pt>
                <c:pt idx="17">
                  <c:v>1.8246494621368239</c:v>
                </c:pt>
                <c:pt idx="18">
                  <c:v>2.2088921121266543</c:v>
                </c:pt>
                <c:pt idx="19">
                  <c:v>2.7175927520941396</c:v>
                </c:pt>
                <c:pt idx="20">
                  <c:v>3.3031586176974326</c:v>
                </c:pt>
                <c:pt idx="21">
                  <c:v>3.917310663540764</c:v>
                </c:pt>
                <c:pt idx="22">
                  <c:v>4.516751270011332</c:v>
                </c:pt>
                <c:pt idx="23">
                  <c:v>5.065669575454817</c:v>
                </c:pt>
                <c:pt idx="24">
                  <c:v>5.535533905932738</c:v>
                </c:pt>
              </c:numCache>
            </c:numRef>
          </c:yVal>
          <c:smooth val="1"/>
        </c:ser>
        <c:axId val="16208370"/>
        <c:axId val="11657603"/>
      </c:scatterChart>
      <c:valAx>
        <c:axId val="1620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57603"/>
        <c:crosses val="autoZero"/>
        <c:crossBetween val="midCat"/>
        <c:dispUnits/>
      </c:valAx>
      <c:valAx>
        <c:axId val="11657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083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Угловые параметры шатуна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расчет!$A$37</c:f>
              <c:strCache>
                <c:ptCount val="1"/>
                <c:pt idx="0">
                  <c:v>Ψ-1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расчет!$B$37:$IV$37</c:f>
              <c:numCache>
                <c:ptCount val="25"/>
                <c:pt idx="0">
                  <c:v>0.06594664713802367</c:v>
                </c:pt>
                <c:pt idx="1">
                  <c:v>0.03798496378578031</c:v>
                </c:pt>
                <c:pt idx="2">
                  <c:v>0.004072464847728607</c:v>
                </c:pt>
                <c:pt idx="3">
                  <c:v>-0.03290575121307315</c:v>
                </c:pt>
                <c:pt idx="4">
                  <c:v>-0.07013574398086586</c:v>
                </c:pt>
                <c:pt idx="5">
                  <c:v>-0.10515978906815326</c:v>
                </c:pt>
                <c:pt idx="6">
                  <c:v>-0.13599408605586394</c:v>
                </c:pt>
                <c:pt idx="7">
                  <c:v>-0.16111131487134767</c:v>
                </c:pt>
                <c:pt idx="8">
                  <c:v>-0.1793580977261776</c:v>
                </c:pt>
                <c:pt idx="9">
                  <c:v>-0.18987502019227553</c:v>
                </c:pt>
                <c:pt idx="10">
                  <c:v>-0.19206479122477516</c:v>
                </c:pt>
                <c:pt idx="11">
                  <c:v>-0.1856270936216451</c:v>
                </c:pt>
                <c:pt idx="12">
                  <c:v>-0.17065027229132046</c:v>
                </c:pt>
                <c:pt idx="13">
                  <c:v>-0.1477226503169753</c:v>
                </c:pt>
                <c:pt idx="14">
                  <c:v>-0.11801052255731748</c:v>
                </c:pt>
                <c:pt idx="15">
                  <c:v>-0.08325920972418177</c:v>
                </c:pt>
                <c:pt idx="16">
                  <c:v>-0.04570636995910893</c:v>
                </c:pt>
                <c:pt idx="17">
                  <c:v>-0.007930197099641934</c:v>
                </c:pt>
                <c:pt idx="18">
                  <c:v>0.02733441445654372</c:v>
                </c:pt>
                <c:pt idx="19">
                  <c:v>0.057392621881074746</c:v>
                </c:pt>
                <c:pt idx="20">
                  <c:v>0.07980045777699463</c:v>
                </c:pt>
                <c:pt idx="21">
                  <c:v>0.09259803814243672</c:v>
                </c:pt>
                <c:pt idx="22">
                  <c:v>0.09455802973704674</c:v>
                </c:pt>
                <c:pt idx="23">
                  <c:v>0.08540753245721122</c:v>
                </c:pt>
                <c:pt idx="24">
                  <c:v>0.06594664713802367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расчет!$A$40</c:f>
              <c:strCache>
                <c:ptCount val="1"/>
                <c:pt idx="0">
                  <c:v>Ψt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расчет!$B$40:$IV$40</c:f>
              <c:numCache>
                <c:ptCount val="25"/>
                <c:pt idx="0">
                  <c:v>-0.09200424746258845</c:v>
                </c:pt>
                <c:pt idx="1">
                  <c:v>-0.11995673531567141</c:v>
                </c:pt>
                <c:pt idx="2">
                  <c:v>-0.1372518755744509</c:v>
                </c:pt>
                <c:pt idx="3">
                  <c:v>-0.14343091420551</c:v>
                </c:pt>
                <c:pt idx="4">
                  <c:v>-0.13941351975518962</c:v>
                </c:pt>
                <c:pt idx="5">
                  <c:v>-0.126889363037258</c:v>
                </c:pt>
                <c:pt idx="6">
                  <c:v>-0.10770088888409204</c:v>
                </c:pt>
                <c:pt idx="7">
                  <c:v>-0.08345185163044173</c:v>
                </c:pt>
                <c:pt idx="8">
                  <c:v>-0.05539837863896932</c:v>
                </c:pt>
                <c:pt idx="9">
                  <c:v>-0.02456243683483009</c:v>
                </c:pt>
                <c:pt idx="10">
                  <c:v>0.00803119749950218</c:v>
                </c:pt>
                <c:pt idx="11">
                  <c:v>0.04110055837103255</c:v>
                </c:pt>
                <c:pt idx="12">
                  <c:v>0.07294479600676967</c:v>
                </c:pt>
                <c:pt idx="13">
                  <c:v>0.10146701409243708</c:v>
                </c:pt>
                <c:pt idx="14">
                  <c:v>0.12440004884177219</c:v>
                </c:pt>
                <c:pt idx="15">
                  <c:v>0.13964587993464989</c:v>
                </c:pt>
                <c:pt idx="16">
                  <c:v>0.1455834681967768</c:v>
                </c:pt>
                <c:pt idx="17">
                  <c:v>0.14125165480782068</c:v>
                </c:pt>
                <c:pt idx="18">
                  <c:v>0.12642123442416472</c:v>
                </c:pt>
                <c:pt idx="19">
                  <c:v>0.10163579999588426</c:v>
                </c:pt>
                <c:pt idx="20">
                  <c:v>0.06828356268093286</c:v>
                </c:pt>
                <c:pt idx="21">
                  <c:v>0.028686531026621317</c:v>
                </c:pt>
                <c:pt idx="22">
                  <c:v>-0.013895397337964271</c:v>
                </c:pt>
                <c:pt idx="23">
                  <c:v>-0.055496137201398385</c:v>
                </c:pt>
                <c:pt idx="24">
                  <c:v>-0.09200424746258848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расчет!$A$44</c:f>
              <c:strCache>
                <c:ptCount val="1"/>
                <c:pt idx="0">
                  <c:v>Ψtt =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расчет!$B$44:$IV$44</c:f>
              <c:numCache>
                <c:ptCount val="25"/>
                <c:pt idx="0">
                  <c:v>-0.12495307797988567</c:v>
                </c:pt>
                <c:pt idx="1">
                  <c:v>-0.0872310640175438</c:v>
                </c:pt>
                <c:pt idx="2">
                  <c:v>-0.04462107201457616</c:v>
                </c:pt>
                <c:pt idx="3">
                  <c:v>-0.003210988826733041</c:v>
                </c:pt>
                <c:pt idx="4">
                  <c:v>0.032784415895562954</c:v>
                </c:pt>
                <c:pt idx="5">
                  <c:v>0.06169485525970445</c:v>
                </c:pt>
                <c:pt idx="6">
                  <c:v>0.08386705506787052</c:v>
                </c:pt>
                <c:pt idx="7">
                  <c:v>0.1005904307364712</c:v>
                </c:pt>
                <c:pt idx="8">
                  <c:v>0.11308775115014678</c:v>
                </c:pt>
                <c:pt idx="9">
                  <c:v>0.12184632169822132</c:v>
                </c:pt>
                <c:pt idx="10">
                  <c:v>0.12634580876782164</c:v>
                </c:pt>
                <c:pt idx="11">
                  <c:v>0.12520149674622338</c:v>
                </c:pt>
                <c:pt idx="12">
                  <c:v>0.11672036016111705</c:v>
                </c:pt>
                <c:pt idx="13">
                  <c:v>0.09970688158937521</c:v>
                </c:pt>
                <c:pt idx="14">
                  <c:v>0.07413241162315976</c:v>
                </c:pt>
                <c:pt idx="15">
                  <c:v>0.04129374508005624</c:v>
                </c:pt>
                <c:pt idx="16">
                  <c:v>0.0034504775259552897</c:v>
                </c:pt>
                <c:pt idx="17">
                  <c:v>-0.03669095435752005</c:v>
                </c:pt>
                <c:pt idx="18">
                  <c:v>-0.07626372540915198</c:v>
                </c:pt>
                <c:pt idx="19">
                  <c:v>-0.11220594706723382</c:v>
                </c:pt>
                <c:pt idx="20">
                  <c:v>-0.14110993838934746</c:v>
                </c:pt>
                <c:pt idx="21">
                  <c:v>-0.15930012628747728</c:v>
                </c:pt>
                <c:pt idx="22">
                  <c:v>-0.16344046652099214</c:v>
                </c:pt>
                <c:pt idx="23">
                  <c:v>-0.15169465043122438</c:v>
                </c:pt>
                <c:pt idx="24">
                  <c:v>-0.12495307797988567</c:v>
                </c:pt>
              </c:numCache>
            </c:numRef>
          </c:val>
          <c:smooth val="1"/>
        </c:ser>
        <c:axId val="37809564"/>
        <c:axId val="4741757"/>
      </c:lineChart>
      <c:catAx>
        <c:axId val="37809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41757"/>
        <c:crosses val="autoZero"/>
        <c:auto val="0"/>
        <c:lblOffset val="100"/>
        <c:noMultiLvlLbl val="0"/>
      </c:catAx>
      <c:valAx>
        <c:axId val="47417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80956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Угловые параметры коромысла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расчет!$A$39</c:f>
              <c:strCache>
                <c:ptCount val="1"/>
                <c:pt idx="0">
                  <c:v>ξ-2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расчет!$B$39:$IV$39</c:f>
              <c:numCache>
                <c:ptCount val="25"/>
                <c:pt idx="0">
                  <c:v>0.5018244902642754</c:v>
                </c:pt>
                <c:pt idx="1">
                  <c:v>0.4730877249293748</c:v>
                </c:pt>
                <c:pt idx="2">
                  <c:v>0.4526055626843206</c:v>
                </c:pt>
                <c:pt idx="3">
                  <c:v>0.44228385391577607</c:v>
                </c:pt>
                <c:pt idx="4">
                  <c:v>0.4430385368262666</c:v>
                </c:pt>
                <c:pt idx="5">
                  <c:v>0.4547095425343888</c:v>
                </c:pt>
                <c:pt idx="6">
                  <c:v>0.4761630221280706</c:v>
                </c:pt>
                <c:pt idx="7">
                  <c:v>0.5055062090710267</c:v>
                </c:pt>
                <c:pt idx="8">
                  <c:v>0.5403357506966455</c:v>
                </c:pt>
                <c:pt idx="9">
                  <c:v>0.5779734003854591</c:v>
                </c:pt>
                <c:pt idx="10">
                  <c:v>0.6156789313311544</c:v>
                </c:pt>
                <c:pt idx="11">
                  <c:v>0.6508480608970855</c:v>
                </c:pt>
                <c:pt idx="12">
                  <c:v>0.6811982137511499</c:v>
                </c:pt>
                <c:pt idx="13">
                  <c:v>0.7049252894917051</c:v>
                </c:pt>
                <c:pt idx="14">
                  <c:v>0.7207989040611551</c:v>
                </c:pt>
                <c:pt idx="15">
                  <c:v>0.7281709863026076</c:v>
                </c:pt>
                <c:pt idx="16">
                  <c:v>0.7269044297686809</c:v>
                </c:pt>
                <c:pt idx="17">
                  <c:v>0.7172627454219294</c:v>
                </c:pt>
                <c:pt idx="18">
                  <c:v>0.6998140294679134</c:v>
                </c:pt>
                <c:pt idx="19">
                  <c:v>0.6753889844555299</c:v>
                </c:pt>
                <c:pt idx="20">
                  <c:v>0.6451059566902546</c:v>
                </c:pt>
                <c:pt idx="21">
                  <c:v>0.6104474455165882</c:v>
                </c:pt>
                <c:pt idx="22">
                  <c:v>0.5733453216454198</c:v>
                </c:pt>
                <c:pt idx="23">
                  <c:v>0.5362089063924169</c:v>
                </c:pt>
                <c:pt idx="24">
                  <c:v>0.5018244902642754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расчет!$A$41</c:f>
              <c:strCache>
                <c:ptCount val="1"/>
                <c:pt idx="0">
                  <c:v>ξt 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расчет!$B$41:$IV$41</c:f>
              <c:numCache>
                <c:ptCount val="25"/>
                <c:pt idx="0">
                  <c:v>-0.12235969042236702</c:v>
                </c:pt>
                <c:pt idx="1">
                  <c:v>-0.09548573222002232</c:v>
                </c:pt>
                <c:pt idx="2">
                  <c:v>-0.05975399435947695</c:v>
                </c:pt>
                <c:pt idx="3">
                  <c:v>-0.01850966258081141</c:v>
                </c:pt>
                <c:pt idx="4">
                  <c:v>0.024165813039104127</c:v>
                </c:pt>
                <c:pt idx="5">
                  <c:v>0.064257816133105</c:v>
                </c:pt>
                <c:pt idx="6">
                  <c:v>0.09841349473674851</c:v>
                </c:pt>
                <c:pt idx="7">
                  <c:v>0.12420685445685947</c:v>
                </c:pt>
                <c:pt idx="8">
                  <c:v>0.14015277347688446</c:v>
                </c:pt>
                <c:pt idx="9">
                  <c:v>0.14562065879099326</c:v>
                </c:pt>
                <c:pt idx="10">
                  <c:v>0.1407584575202702</c:v>
                </c:pt>
                <c:pt idx="11">
                  <c:v>0.1264504523394897</c:v>
                </c:pt>
                <c:pt idx="12">
                  <c:v>0.10425277331588759</c:v>
                </c:pt>
                <c:pt idx="13">
                  <c:v>0.07622495574941272</c:v>
                </c:pt>
                <c:pt idx="14">
                  <c:v>0.04463290740511377</c:v>
                </c:pt>
                <c:pt idx="15">
                  <c:v>0.011605922422833087</c:v>
                </c:pt>
                <c:pt idx="16">
                  <c:v>-0.021107451619509426</c:v>
                </c:pt>
                <c:pt idx="17">
                  <c:v>-0.052185140180148144</c:v>
                </c:pt>
                <c:pt idx="18">
                  <c:v>-0.08058612653548597</c:v>
                </c:pt>
                <c:pt idx="19">
                  <c:v>-0.10530077348623845</c:v>
                </c:pt>
                <c:pt idx="20">
                  <c:v>-0.12510677605171905</c:v>
                </c:pt>
                <c:pt idx="21">
                  <c:v>-0.13843737831432312</c:v>
                </c:pt>
                <c:pt idx="22">
                  <c:v>-0.14346218049891205</c:v>
                </c:pt>
                <c:pt idx="23">
                  <c:v>-0.13844797311768794</c:v>
                </c:pt>
                <c:pt idx="24">
                  <c:v>-0.12235969042236701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расчет!$A$45</c:f>
              <c:strCache>
                <c:ptCount val="1"/>
                <c:pt idx="0">
                  <c:v>ξtt =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расчет!$B$45:$IV$45</c:f>
              <c:numCache>
                <c:ptCount val="25"/>
                <c:pt idx="0">
                  <c:v>0.08274861600975522</c:v>
                </c:pt>
                <c:pt idx="1">
                  <c:v>0.12131100460865399</c:v>
                </c:pt>
                <c:pt idx="2">
                  <c:v>0.14948283125315745</c:v>
                </c:pt>
                <c:pt idx="3">
                  <c:v>0.16294783930343124</c:v>
                </c:pt>
                <c:pt idx="4">
                  <c:v>0.16047406784000015</c:v>
                </c:pt>
                <c:pt idx="5">
                  <c:v>0.14365586308196293</c:v>
                </c:pt>
                <c:pt idx="6">
                  <c:v>0.1157305224839664</c:v>
                </c:pt>
                <c:pt idx="7">
                  <c:v>0.08037734168121037</c:v>
                </c:pt>
                <c:pt idx="8">
                  <c:v>0.04104409579609595</c:v>
                </c:pt>
                <c:pt idx="9">
                  <c:v>0.0008237510579401218</c:v>
                </c:pt>
                <c:pt idx="10">
                  <c:v>-0.03740206231574718</c:v>
                </c:pt>
                <c:pt idx="11">
                  <c:v>-0.070901984990244</c:v>
                </c:pt>
                <c:pt idx="12">
                  <c:v>-0.09734491111331599</c:v>
                </c:pt>
                <c:pt idx="13">
                  <c:v>-0.11530596494049203</c:v>
                </c:pt>
                <c:pt idx="14">
                  <c:v>-0.12466740104733669</c:v>
                </c:pt>
                <c:pt idx="15">
                  <c:v>-0.12652424010780206</c:v>
                </c:pt>
                <c:pt idx="16">
                  <c:v>-0.12255602362770979</c:v>
                </c:pt>
                <c:pt idx="17">
                  <c:v>-0.11421422649747529</c:v>
                </c:pt>
                <c:pt idx="18">
                  <c:v>-0.10212706671258452</c:v>
                </c:pt>
                <c:pt idx="19">
                  <c:v>-0.08591011689639436</c:v>
                </c:pt>
                <c:pt idx="20">
                  <c:v>-0.06439476518211913</c:v>
                </c:pt>
                <c:pt idx="21">
                  <c:v>-0.0362550776696464</c:v>
                </c:pt>
                <c:pt idx="22">
                  <c:v>-0.000987903486186331</c:v>
                </c:pt>
                <c:pt idx="23">
                  <c:v>0.03999581147087979</c:v>
                </c:pt>
                <c:pt idx="24">
                  <c:v>0.08274861600975522</c:v>
                </c:pt>
              </c:numCache>
            </c:numRef>
          </c:val>
          <c:smooth val="1"/>
        </c:ser>
        <c:axId val="42675814"/>
        <c:axId val="48538007"/>
      </c:lineChart>
      <c:catAx>
        <c:axId val="42675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38007"/>
        <c:crosses val="autoZero"/>
        <c:auto val="0"/>
        <c:lblOffset val="100"/>
        <c:noMultiLvlLbl val="0"/>
      </c:catAx>
      <c:valAx>
        <c:axId val="485380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67581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Угловые параметры кулисной пары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расчет!$A$77</c:f>
              <c:strCache>
                <c:ptCount val="1"/>
                <c:pt idx="0">
                  <c:v>θ=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расчет!$B$77:$IV$77</c:f>
              <c:numCache>
                <c:ptCount val="25"/>
                <c:pt idx="0">
                  <c:v>-0.7853981633974483</c:v>
                </c:pt>
                <c:pt idx="1">
                  <c:v>-0.836162126765599</c:v>
                </c:pt>
                <c:pt idx="2">
                  <c:v>-0.8715426801462951</c:v>
                </c:pt>
                <c:pt idx="3">
                  <c:v>-0.8905408854508085</c:v>
                </c:pt>
                <c:pt idx="4">
                  <c:v>-0.892765575812942</c:v>
                </c:pt>
                <c:pt idx="5">
                  <c:v>-0.8783001903718859</c:v>
                </c:pt>
                <c:pt idx="6">
                  <c:v>-0.8475837134762049</c:v>
                </c:pt>
                <c:pt idx="7">
                  <c:v>-0.801357363831454</c:v>
                </c:pt>
                <c:pt idx="8">
                  <c:v>-0.7407570546487188</c:v>
                </c:pt>
                <c:pt idx="9">
                  <c:v>-0.6676268990780887</c:v>
                </c:pt>
                <c:pt idx="10">
                  <c:v>-0.5850607804964549</c:v>
                </c:pt>
                <c:pt idx="11">
                  <c:v>-0.4979977236389296</c:v>
                </c:pt>
                <c:pt idx="12">
                  <c:v>-0.41343482873061027</c:v>
                </c:pt>
                <c:pt idx="13">
                  <c:v>-0.33975102667925794</c:v>
                </c:pt>
                <c:pt idx="14">
                  <c:v>-0.2851000319385152</c:v>
                </c:pt>
                <c:pt idx="15">
                  <c:v>-0.2555840399788623</c:v>
                </c:pt>
                <c:pt idx="16">
                  <c:v>-0.25409975379509153</c:v>
                </c:pt>
                <c:pt idx="17">
                  <c:v>-0.2801389290137736</c:v>
                </c:pt>
                <c:pt idx="18">
                  <c:v>-0.3302377772220208</c:v>
                </c:pt>
                <c:pt idx="19">
                  <c:v>-0.3987401319351759</c:v>
                </c:pt>
                <c:pt idx="20">
                  <c:v>-0.4787509171610475</c:v>
                </c:pt>
                <c:pt idx="21">
                  <c:v>-0.563180949995418</c:v>
                </c:pt>
                <c:pt idx="22">
                  <c:v>-0.6456490902714889</c:v>
                </c:pt>
                <c:pt idx="23">
                  <c:v>-0.7210000990370711</c:v>
                </c:pt>
                <c:pt idx="24">
                  <c:v>-0.7853981633974483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расчет!$A$82</c:f>
              <c:strCache>
                <c:ptCount val="1"/>
                <c:pt idx="0">
                  <c:v>θt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расчет!$B$82:$IV$82</c:f>
              <c:numCache>
                <c:ptCount val="25"/>
                <c:pt idx="0">
                  <c:v>-0.22132684139520364</c:v>
                </c:pt>
                <c:pt idx="1">
                  <c:v>-0.16537901546818548</c:v>
                </c:pt>
                <c:pt idx="2">
                  <c:v>-0.10428126790772042</c:v>
                </c:pt>
                <c:pt idx="3">
                  <c:v>-0.040613813884079225</c:v>
                </c:pt>
                <c:pt idx="4">
                  <c:v>0.023557228060385477</c:v>
                </c:pt>
                <c:pt idx="5">
                  <c:v>0.0866665443030389</c:v>
                </c:pt>
                <c:pt idx="6">
                  <c:v>0.14752329625665045</c:v>
                </c:pt>
                <c:pt idx="7">
                  <c:v>0.20491656579074272</c:v>
                </c:pt>
                <c:pt idx="8">
                  <c:v>0.2568975548658978</c:v>
                </c:pt>
                <c:pt idx="9">
                  <c:v>0.2998481452723065</c:v>
                </c:pt>
                <c:pt idx="10">
                  <c:v>0.32778542527299315</c:v>
                </c:pt>
                <c:pt idx="11">
                  <c:v>0.33283090568012713</c:v>
                </c:pt>
                <c:pt idx="12">
                  <c:v>0.30773793876600364</c:v>
                </c:pt>
                <c:pt idx="13">
                  <c:v>0.24984801630199382</c:v>
                </c:pt>
                <c:pt idx="14">
                  <c:v>0.16369421556739436</c:v>
                </c:pt>
                <c:pt idx="15">
                  <c:v>0.05993851777656931</c:v>
                </c:pt>
                <c:pt idx="16">
                  <c:v>-0.048243827431104065</c:v>
                </c:pt>
                <c:pt idx="17">
                  <c:v>-0.14842645431790477</c:v>
                </c:pt>
                <c:pt idx="18">
                  <c:v>-0.2306384566537989</c:v>
                </c:pt>
                <c:pt idx="19">
                  <c:v>-0.2882225220407359</c:v>
                </c:pt>
                <c:pt idx="20">
                  <c:v>-0.3184416816337809</c:v>
                </c:pt>
                <c:pt idx="21">
                  <c:v>-0.32246058143407447</c:v>
                </c:pt>
                <c:pt idx="22">
                  <c:v>-0.30426357311328334</c:v>
                </c:pt>
                <c:pt idx="23">
                  <c:v>-0.2689463186342332</c:v>
                </c:pt>
                <c:pt idx="24">
                  <c:v>-0.22132684139520375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расчет!$A$89</c:f>
              <c:strCache>
                <c:ptCount val="1"/>
                <c:pt idx="0">
                  <c:v>θtt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расчет!$B$89:$IV$89</c:f>
              <c:numCache>
                <c:ptCount val="25"/>
                <c:pt idx="0">
                  <c:v>0.056892284465983003</c:v>
                </c:pt>
                <c:pt idx="1">
                  <c:v>0.11031104249827534</c:v>
                </c:pt>
                <c:pt idx="2">
                  <c:v>0.16818567139508867</c:v>
                </c:pt>
                <c:pt idx="3">
                  <c:v>0.22044571793893122</c:v>
                </c:pt>
                <c:pt idx="4">
                  <c:v>0.2551449151931751</c:v>
                </c:pt>
                <c:pt idx="5">
                  <c:v>0.26253741577820544</c:v>
                </c:pt>
                <c:pt idx="6">
                  <c:v>0.23711197659164088</c:v>
                </c:pt>
                <c:pt idx="7">
                  <c:v>0.17751638579188048</c:v>
                </c:pt>
                <c:pt idx="8">
                  <c:v>0.08586088095379114</c:v>
                </c:pt>
                <c:pt idx="9">
                  <c:v>-0.03200278159234534</c:v>
                </c:pt>
                <c:pt idx="10">
                  <c:v>-0.1647300558665087</c:v>
                </c:pt>
                <c:pt idx="11">
                  <c:v>-0.2940439951285046</c:v>
                </c:pt>
                <c:pt idx="12">
                  <c:v>-0.3976333107070203</c:v>
                </c:pt>
                <c:pt idx="13">
                  <c:v>-0.45795288810060886</c:v>
                </c:pt>
                <c:pt idx="14">
                  <c:v>-0.47038449949198846</c:v>
                </c:pt>
                <c:pt idx="15">
                  <c:v>-0.4426047452901565</c:v>
                </c:pt>
                <c:pt idx="16">
                  <c:v>-0.3874404663933037</c:v>
                </c:pt>
                <c:pt idx="17">
                  <c:v>-0.31734636631042773</c:v>
                </c:pt>
                <c:pt idx="18">
                  <c:v>-0.24296799653535464</c:v>
                </c:pt>
                <c:pt idx="19">
                  <c:v>-0.17306148315834385</c:v>
                </c:pt>
                <c:pt idx="20">
                  <c:v>-0.11354340553909455</c:v>
                </c:pt>
                <c:pt idx="21">
                  <c:v>-0.06587000511998854</c:v>
                </c:pt>
                <c:pt idx="22">
                  <c:v>-0.026364042614252174</c:v>
                </c:pt>
                <c:pt idx="23">
                  <c:v>0.012203874883628823</c:v>
                </c:pt>
                <c:pt idx="24">
                  <c:v>0.0568922844659829</c:v>
                </c:pt>
              </c:numCache>
            </c:numRef>
          </c:val>
          <c:smooth val="1"/>
        </c:ser>
        <c:axId val="34188880"/>
        <c:axId val="39264465"/>
      </c:lineChart>
      <c:catAx>
        <c:axId val="34188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64465"/>
        <c:crosses val="autoZero"/>
        <c:auto val="0"/>
        <c:lblOffset val="100"/>
        <c:noMultiLvlLbl val="0"/>
      </c:catAx>
      <c:valAx>
        <c:axId val="392644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18888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Relationship Id="rId17" Type="http://schemas.openxmlformats.org/officeDocument/2006/relationships/chart" Target="/xl/charts/chart19.xml" /><Relationship Id="rId18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216</xdr:row>
      <xdr:rowOff>47625</xdr:rowOff>
    </xdr:from>
    <xdr:to>
      <xdr:col>9</xdr:col>
      <xdr:colOff>152400</xdr:colOff>
      <xdr:row>230</xdr:row>
      <xdr:rowOff>133350</xdr:rowOff>
    </xdr:to>
    <xdr:graphicFrame>
      <xdr:nvGraphicFramePr>
        <xdr:cNvPr id="1" name="Chart 58"/>
        <xdr:cNvGraphicFramePr/>
      </xdr:nvGraphicFramePr>
      <xdr:xfrm>
        <a:off x="1228725" y="35013900"/>
        <a:ext cx="52768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172</xdr:row>
      <xdr:rowOff>114300</xdr:rowOff>
    </xdr:from>
    <xdr:to>
      <xdr:col>11</xdr:col>
      <xdr:colOff>180975</xdr:colOff>
      <xdr:row>184</xdr:row>
      <xdr:rowOff>38100</xdr:rowOff>
    </xdr:to>
    <xdr:graphicFrame>
      <xdr:nvGraphicFramePr>
        <xdr:cNvPr id="2" name="Chart 61"/>
        <xdr:cNvGraphicFramePr/>
      </xdr:nvGraphicFramePr>
      <xdr:xfrm>
        <a:off x="2647950" y="27965400"/>
        <a:ext cx="52578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85725</xdr:rowOff>
    </xdr:from>
    <xdr:to>
      <xdr:col>8</xdr:col>
      <xdr:colOff>628650</xdr:colOff>
      <xdr:row>17</xdr:row>
      <xdr:rowOff>76200</xdr:rowOff>
    </xdr:to>
    <xdr:graphicFrame>
      <xdr:nvGraphicFramePr>
        <xdr:cNvPr id="1" name="Chart 18"/>
        <xdr:cNvGraphicFramePr/>
      </xdr:nvGraphicFramePr>
      <xdr:xfrm>
        <a:off x="866775" y="409575"/>
        <a:ext cx="52482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20</xdr:row>
      <xdr:rowOff>28575</xdr:rowOff>
    </xdr:from>
    <xdr:to>
      <xdr:col>8</xdr:col>
      <xdr:colOff>676275</xdr:colOff>
      <xdr:row>35</xdr:row>
      <xdr:rowOff>19050</xdr:rowOff>
    </xdr:to>
    <xdr:graphicFrame>
      <xdr:nvGraphicFramePr>
        <xdr:cNvPr id="2" name="Chart 19"/>
        <xdr:cNvGraphicFramePr/>
      </xdr:nvGraphicFramePr>
      <xdr:xfrm>
        <a:off x="914400" y="3267075"/>
        <a:ext cx="52482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561975</xdr:colOff>
      <xdr:row>2</xdr:row>
      <xdr:rowOff>95250</xdr:rowOff>
    </xdr:from>
    <xdr:to>
      <xdr:col>17</xdr:col>
      <xdr:colOff>323850</xdr:colOff>
      <xdr:row>17</xdr:row>
      <xdr:rowOff>85725</xdr:rowOff>
    </xdr:to>
    <xdr:graphicFrame>
      <xdr:nvGraphicFramePr>
        <xdr:cNvPr id="3" name="Chart 20"/>
        <xdr:cNvGraphicFramePr/>
      </xdr:nvGraphicFramePr>
      <xdr:xfrm>
        <a:off x="6734175" y="419100"/>
        <a:ext cx="52482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561975</xdr:colOff>
      <xdr:row>19</xdr:row>
      <xdr:rowOff>85725</xdr:rowOff>
    </xdr:from>
    <xdr:to>
      <xdr:col>17</xdr:col>
      <xdr:colOff>323850</xdr:colOff>
      <xdr:row>34</xdr:row>
      <xdr:rowOff>76200</xdr:rowOff>
    </xdr:to>
    <xdr:graphicFrame>
      <xdr:nvGraphicFramePr>
        <xdr:cNvPr id="4" name="Chart 21"/>
        <xdr:cNvGraphicFramePr/>
      </xdr:nvGraphicFramePr>
      <xdr:xfrm>
        <a:off x="6734175" y="3162300"/>
        <a:ext cx="52482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485775</xdr:colOff>
      <xdr:row>37</xdr:row>
      <xdr:rowOff>123825</xdr:rowOff>
    </xdr:from>
    <xdr:to>
      <xdr:col>17</xdr:col>
      <xdr:colOff>247650</xdr:colOff>
      <xdr:row>52</xdr:row>
      <xdr:rowOff>114300</xdr:rowOff>
    </xdr:to>
    <xdr:graphicFrame>
      <xdr:nvGraphicFramePr>
        <xdr:cNvPr id="5" name="Chart 24"/>
        <xdr:cNvGraphicFramePr/>
      </xdr:nvGraphicFramePr>
      <xdr:xfrm>
        <a:off x="6657975" y="6115050"/>
        <a:ext cx="52482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419100</xdr:colOff>
      <xdr:row>37</xdr:row>
      <xdr:rowOff>76200</xdr:rowOff>
    </xdr:from>
    <xdr:to>
      <xdr:col>9</xdr:col>
      <xdr:colOff>180975</xdr:colOff>
      <xdr:row>52</xdr:row>
      <xdr:rowOff>66675</xdr:rowOff>
    </xdr:to>
    <xdr:graphicFrame>
      <xdr:nvGraphicFramePr>
        <xdr:cNvPr id="6" name="Chart 25"/>
        <xdr:cNvGraphicFramePr/>
      </xdr:nvGraphicFramePr>
      <xdr:xfrm>
        <a:off x="1104900" y="6067425"/>
        <a:ext cx="524827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409575</xdr:colOff>
      <xdr:row>53</xdr:row>
      <xdr:rowOff>57150</xdr:rowOff>
    </xdr:from>
    <xdr:to>
      <xdr:col>9</xdr:col>
      <xdr:colOff>171450</xdr:colOff>
      <xdr:row>68</xdr:row>
      <xdr:rowOff>47625</xdr:rowOff>
    </xdr:to>
    <xdr:graphicFrame>
      <xdr:nvGraphicFramePr>
        <xdr:cNvPr id="7" name="Chart 27"/>
        <xdr:cNvGraphicFramePr/>
      </xdr:nvGraphicFramePr>
      <xdr:xfrm>
        <a:off x="1095375" y="8639175"/>
        <a:ext cx="5248275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581025</xdr:colOff>
      <xdr:row>117</xdr:row>
      <xdr:rowOff>104775</xdr:rowOff>
    </xdr:from>
    <xdr:to>
      <xdr:col>10</xdr:col>
      <xdr:colOff>342900</xdr:colOff>
      <xdr:row>132</xdr:row>
      <xdr:rowOff>95250</xdr:rowOff>
    </xdr:to>
    <xdr:graphicFrame>
      <xdr:nvGraphicFramePr>
        <xdr:cNvPr id="8" name="Chart 37"/>
        <xdr:cNvGraphicFramePr/>
      </xdr:nvGraphicFramePr>
      <xdr:xfrm>
        <a:off x="1952625" y="19050000"/>
        <a:ext cx="5248275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76200</xdr:colOff>
      <xdr:row>69</xdr:row>
      <xdr:rowOff>28575</xdr:rowOff>
    </xdr:from>
    <xdr:to>
      <xdr:col>9</xdr:col>
      <xdr:colOff>523875</xdr:colOff>
      <xdr:row>84</xdr:row>
      <xdr:rowOff>19050</xdr:rowOff>
    </xdr:to>
    <xdr:graphicFrame>
      <xdr:nvGraphicFramePr>
        <xdr:cNvPr id="9" name="Chart 38"/>
        <xdr:cNvGraphicFramePr/>
      </xdr:nvGraphicFramePr>
      <xdr:xfrm>
        <a:off x="1447800" y="11201400"/>
        <a:ext cx="5248275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238125</xdr:colOff>
      <xdr:row>69</xdr:row>
      <xdr:rowOff>9525</xdr:rowOff>
    </xdr:from>
    <xdr:to>
      <xdr:col>18</xdr:col>
      <xdr:colOff>0</xdr:colOff>
      <xdr:row>84</xdr:row>
      <xdr:rowOff>0</xdr:rowOff>
    </xdr:to>
    <xdr:graphicFrame>
      <xdr:nvGraphicFramePr>
        <xdr:cNvPr id="10" name="Chart 39"/>
        <xdr:cNvGraphicFramePr/>
      </xdr:nvGraphicFramePr>
      <xdr:xfrm>
        <a:off x="7096125" y="11182350"/>
        <a:ext cx="5248275" cy="2419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409575</xdr:colOff>
      <xdr:row>84</xdr:row>
      <xdr:rowOff>85725</xdr:rowOff>
    </xdr:from>
    <xdr:to>
      <xdr:col>10</xdr:col>
      <xdr:colOff>171450</xdr:colOff>
      <xdr:row>99</xdr:row>
      <xdr:rowOff>76200</xdr:rowOff>
    </xdr:to>
    <xdr:graphicFrame>
      <xdr:nvGraphicFramePr>
        <xdr:cNvPr id="11" name="Chart 40"/>
        <xdr:cNvGraphicFramePr/>
      </xdr:nvGraphicFramePr>
      <xdr:xfrm>
        <a:off x="1781175" y="13687425"/>
        <a:ext cx="5248275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180975</xdr:colOff>
      <xdr:row>84</xdr:row>
      <xdr:rowOff>9525</xdr:rowOff>
    </xdr:from>
    <xdr:to>
      <xdr:col>17</xdr:col>
      <xdr:colOff>628650</xdr:colOff>
      <xdr:row>99</xdr:row>
      <xdr:rowOff>0</xdr:rowOff>
    </xdr:to>
    <xdr:graphicFrame>
      <xdr:nvGraphicFramePr>
        <xdr:cNvPr id="12" name="Chart 41"/>
        <xdr:cNvGraphicFramePr/>
      </xdr:nvGraphicFramePr>
      <xdr:xfrm>
        <a:off x="7038975" y="13611225"/>
        <a:ext cx="5248275" cy="2419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514350</xdr:colOff>
      <xdr:row>100</xdr:row>
      <xdr:rowOff>142875</xdr:rowOff>
    </xdr:from>
    <xdr:to>
      <xdr:col>10</xdr:col>
      <xdr:colOff>276225</xdr:colOff>
      <xdr:row>115</xdr:row>
      <xdr:rowOff>133350</xdr:rowOff>
    </xdr:to>
    <xdr:graphicFrame>
      <xdr:nvGraphicFramePr>
        <xdr:cNvPr id="13" name="Chart 42"/>
        <xdr:cNvGraphicFramePr/>
      </xdr:nvGraphicFramePr>
      <xdr:xfrm>
        <a:off x="1885950" y="16335375"/>
        <a:ext cx="5248275" cy="2419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171450</xdr:colOff>
      <xdr:row>101</xdr:row>
      <xdr:rowOff>66675</xdr:rowOff>
    </xdr:from>
    <xdr:to>
      <xdr:col>18</xdr:col>
      <xdr:colOff>619125</xdr:colOff>
      <xdr:row>116</xdr:row>
      <xdr:rowOff>57150</xdr:rowOff>
    </xdr:to>
    <xdr:graphicFrame>
      <xdr:nvGraphicFramePr>
        <xdr:cNvPr id="14" name="Chart 43"/>
        <xdr:cNvGraphicFramePr/>
      </xdr:nvGraphicFramePr>
      <xdr:xfrm>
        <a:off x="7715250" y="16421100"/>
        <a:ext cx="5248275" cy="2419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171450</xdr:colOff>
      <xdr:row>134</xdr:row>
      <xdr:rowOff>38100</xdr:rowOff>
    </xdr:from>
    <xdr:to>
      <xdr:col>10</xdr:col>
      <xdr:colOff>619125</xdr:colOff>
      <xdr:row>149</xdr:row>
      <xdr:rowOff>28575</xdr:rowOff>
    </xdr:to>
    <xdr:graphicFrame>
      <xdr:nvGraphicFramePr>
        <xdr:cNvPr id="15" name="Chart 44"/>
        <xdr:cNvGraphicFramePr/>
      </xdr:nvGraphicFramePr>
      <xdr:xfrm>
        <a:off x="2228850" y="21736050"/>
        <a:ext cx="5248275" cy="2419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133350</xdr:colOff>
      <xdr:row>134</xdr:row>
      <xdr:rowOff>0</xdr:rowOff>
    </xdr:from>
    <xdr:to>
      <xdr:col>18</xdr:col>
      <xdr:colOff>581025</xdr:colOff>
      <xdr:row>148</xdr:row>
      <xdr:rowOff>152400</xdr:rowOff>
    </xdr:to>
    <xdr:graphicFrame>
      <xdr:nvGraphicFramePr>
        <xdr:cNvPr id="16" name="Chart 45"/>
        <xdr:cNvGraphicFramePr/>
      </xdr:nvGraphicFramePr>
      <xdr:xfrm>
        <a:off x="7677150" y="21697950"/>
        <a:ext cx="5248275" cy="2419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161925</xdr:colOff>
      <xdr:row>151</xdr:row>
      <xdr:rowOff>9525</xdr:rowOff>
    </xdr:from>
    <xdr:to>
      <xdr:col>10</xdr:col>
      <xdr:colOff>609600</xdr:colOff>
      <xdr:row>166</xdr:row>
      <xdr:rowOff>0</xdr:rowOff>
    </xdr:to>
    <xdr:graphicFrame>
      <xdr:nvGraphicFramePr>
        <xdr:cNvPr id="17" name="Chart 46"/>
        <xdr:cNvGraphicFramePr/>
      </xdr:nvGraphicFramePr>
      <xdr:xfrm>
        <a:off x="2219325" y="24460200"/>
        <a:ext cx="5248275" cy="2419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11</xdr:col>
      <xdr:colOff>276225</xdr:colOff>
      <xdr:row>151</xdr:row>
      <xdr:rowOff>38100</xdr:rowOff>
    </xdr:from>
    <xdr:to>
      <xdr:col>18</xdr:col>
      <xdr:colOff>561975</xdr:colOff>
      <xdr:row>165</xdr:row>
      <xdr:rowOff>123825</xdr:rowOff>
    </xdr:to>
    <xdr:graphicFrame>
      <xdr:nvGraphicFramePr>
        <xdr:cNvPr id="18" name="Chart 47"/>
        <xdr:cNvGraphicFramePr/>
      </xdr:nvGraphicFramePr>
      <xdr:xfrm>
        <a:off x="7820025" y="24488775"/>
        <a:ext cx="5086350" cy="23526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161925</xdr:colOff>
      <xdr:row>30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05725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20</xdr:row>
      <xdr:rowOff>28575</xdr:rowOff>
    </xdr:from>
    <xdr:to>
      <xdr:col>5</xdr:col>
      <xdr:colOff>533400</xdr:colOff>
      <xdr:row>21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3267075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21</xdr:row>
      <xdr:rowOff>76200</xdr:rowOff>
    </xdr:from>
    <xdr:to>
      <xdr:col>2</xdr:col>
      <xdr:colOff>571500</xdr:colOff>
      <xdr:row>23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3476625"/>
          <a:ext cx="904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28575</xdr:rowOff>
    </xdr:from>
    <xdr:to>
      <xdr:col>10</xdr:col>
      <xdr:colOff>276225</xdr:colOff>
      <xdr:row>16</xdr:row>
      <xdr:rowOff>152400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38875" y="2457450"/>
          <a:ext cx="895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17</xdr:row>
      <xdr:rowOff>76200</xdr:rowOff>
    </xdr:from>
    <xdr:to>
      <xdr:col>4</xdr:col>
      <xdr:colOff>47625</xdr:colOff>
      <xdr:row>19</xdr:row>
      <xdr:rowOff>9525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2828925"/>
          <a:ext cx="847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447675</xdr:colOff>
      <xdr:row>2</xdr:row>
      <xdr:rowOff>123825</xdr:rowOff>
    </xdr:from>
    <xdr:ext cx="2447925" cy="171450"/>
    <xdr:sp>
      <xdr:nvSpPr>
        <xdr:cNvPr id="6" name="TextBox 11"/>
        <xdr:cNvSpPr txBox="1">
          <a:spLocks noChangeArrowheads="1"/>
        </xdr:cNvSpPr>
      </xdr:nvSpPr>
      <xdr:spPr>
        <a:xfrm>
          <a:off x="3190875" y="447675"/>
          <a:ext cx="2447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СХЕМА МЕХАНИЗМА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L19" sqref="L19"/>
    </sheetView>
  </sheetViews>
  <sheetFormatPr defaultColWidth="9.00390625" defaultRowHeight="12.75"/>
  <sheetData>
    <row r="1" spans="8:9" ht="12.75">
      <c r="H1" t="s">
        <v>234</v>
      </c>
      <c r="I1" t="s">
        <v>235</v>
      </c>
    </row>
    <row r="2" spans="6:11" ht="12.75">
      <c r="F2" t="s">
        <v>245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</row>
    <row r="3" spans="6:11" ht="12.75">
      <c r="F3" t="s">
        <v>246</v>
      </c>
      <c r="G3" t="s">
        <v>255</v>
      </c>
      <c r="H3" t="s">
        <v>256</v>
      </c>
      <c r="I3" t="s">
        <v>252</v>
      </c>
      <c r="J3" t="s">
        <v>254</v>
      </c>
      <c r="K3" t="s">
        <v>253</v>
      </c>
    </row>
    <row r="4" spans="2:11" ht="12.75">
      <c r="B4" t="s">
        <v>277</v>
      </c>
      <c r="C4" t="s">
        <v>236</v>
      </c>
      <c r="D4" t="s">
        <v>237</v>
      </c>
      <c r="E4" t="s">
        <v>238</v>
      </c>
      <c r="F4" t="s">
        <v>239</v>
      </c>
      <c r="G4" t="s">
        <v>240</v>
      </c>
      <c r="H4" t="s">
        <v>241</v>
      </c>
      <c r="I4" t="s">
        <v>242</v>
      </c>
      <c r="J4" t="s">
        <v>243</v>
      </c>
      <c r="K4" t="s">
        <v>244</v>
      </c>
    </row>
    <row r="5" spans="1:11" ht="12.75">
      <c r="A5" t="s">
        <v>257</v>
      </c>
      <c r="C5">
        <v>24</v>
      </c>
      <c r="D5">
        <v>50</v>
      </c>
      <c r="E5">
        <v>65</v>
      </c>
      <c r="F5">
        <v>91</v>
      </c>
      <c r="G5">
        <v>102</v>
      </c>
      <c r="H5">
        <v>109</v>
      </c>
      <c r="I5">
        <v>116</v>
      </c>
      <c r="J5">
        <v>123</v>
      </c>
      <c r="K5">
        <v>130</v>
      </c>
    </row>
    <row r="6" spans="1:11" ht="12.75">
      <c r="A6" t="s">
        <v>258</v>
      </c>
      <c r="C6">
        <v>25</v>
      </c>
      <c r="D6">
        <v>51</v>
      </c>
      <c r="E6">
        <v>67</v>
      </c>
      <c r="F6">
        <v>92</v>
      </c>
      <c r="G6">
        <v>103</v>
      </c>
      <c r="H6">
        <v>110</v>
      </c>
      <c r="I6">
        <v>117</v>
      </c>
      <c r="J6">
        <v>124</v>
      </c>
      <c r="K6">
        <v>131</v>
      </c>
    </row>
    <row r="7" spans="1:11" ht="12.75">
      <c r="A7" t="s">
        <v>259</v>
      </c>
      <c r="C7">
        <v>26</v>
      </c>
      <c r="D7">
        <v>52</v>
      </c>
      <c r="E7">
        <v>68</v>
      </c>
      <c r="F7">
        <v>96</v>
      </c>
      <c r="G7">
        <v>104</v>
      </c>
      <c r="H7">
        <v>111</v>
      </c>
      <c r="I7">
        <v>118</v>
      </c>
      <c r="J7">
        <v>125</v>
      </c>
      <c r="K7">
        <v>132</v>
      </c>
    </row>
    <row r="8" spans="1:11" ht="12.75">
      <c r="A8" t="s">
        <v>260</v>
      </c>
      <c r="C8">
        <v>27</v>
      </c>
      <c r="D8">
        <v>53</v>
      </c>
      <c r="E8">
        <v>69</v>
      </c>
      <c r="F8">
        <v>97</v>
      </c>
      <c r="G8">
        <v>105</v>
      </c>
      <c r="H8">
        <v>112</v>
      </c>
      <c r="I8">
        <v>119</v>
      </c>
      <c r="J8">
        <v>126</v>
      </c>
      <c r="K8">
        <v>133</v>
      </c>
    </row>
    <row r="9" spans="1:11" ht="12.75">
      <c r="A9" t="s">
        <v>261</v>
      </c>
      <c r="C9">
        <v>28</v>
      </c>
      <c r="D9">
        <v>54</v>
      </c>
      <c r="E9">
        <v>70</v>
      </c>
      <c r="F9">
        <v>98</v>
      </c>
      <c r="G9">
        <v>106</v>
      </c>
      <c r="H9">
        <v>113</v>
      </c>
      <c r="I9">
        <v>120</v>
      </c>
      <c r="J9">
        <v>127</v>
      </c>
      <c r="K9">
        <v>134</v>
      </c>
    </row>
    <row r="10" spans="1:11" ht="12.75">
      <c r="A10" t="s">
        <v>262</v>
      </c>
      <c r="C10">
        <v>29</v>
      </c>
      <c r="D10">
        <v>55</v>
      </c>
      <c r="E10">
        <v>71</v>
      </c>
      <c r="F10">
        <v>99</v>
      </c>
      <c r="G10">
        <v>107</v>
      </c>
      <c r="H10">
        <v>114</v>
      </c>
      <c r="I10">
        <v>121</v>
      </c>
      <c r="J10">
        <v>128</v>
      </c>
      <c r="K10">
        <v>135</v>
      </c>
    </row>
    <row r="12" spans="1:11" ht="12.75">
      <c r="A12" t="s">
        <v>263</v>
      </c>
      <c r="B12">
        <v>212</v>
      </c>
      <c r="C12">
        <v>205</v>
      </c>
      <c r="D12">
        <v>198</v>
      </c>
      <c r="E12">
        <v>192</v>
      </c>
      <c r="G12">
        <v>142</v>
      </c>
      <c r="H12">
        <v>150</v>
      </c>
      <c r="I12">
        <v>158</v>
      </c>
      <c r="J12">
        <v>166</v>
      </c>
      <c r="K12">
        <v>174</v>
      </c>
    </row>
    <row r="13" spans="1:11" ht="12.75">
      <c r="A13" t="s">
        <v>264</v>
      </c>
      <c r="B13">
        <v>213</v>
      </c>
      <c r="C13">
        <v>206</v>
      </c>
      <c r="D13">
        <v>199</v>
      </c>
      <c r="E13">
        <v>193</v>
      </c>
      <c r="G13">
        <v>143</v>
      </c>
      <c r="H13">
        <v>151</v>
      </c>
      <c r="I13">
        <v>159</v>
      </c>
      <c r="J13">
        <v>167</v>
      </c>
      <c r="K13">
        <v>175</v>
      </c>
    </row>
    <row r="14" spans="1:11" ht="12.75">
      <c r="A14" t="s">
        <v>265</v>
      </c>
      <c r="B14">
        <v>214</v>
      </c>
      <c r="C14">
        <v>207</v>
      </c>
      <c r="D14">
        <v>200</v>
      </c>
      <c r="E14">
        <v>194</v>
      </c>
      <c r="G14">
        <v>144</v>
      </c>
      <c r="H14">
        <v>152</v>
      </c>
      <c r="I14">
        <v>160</v>
      </c>
      <c r="J14">
        <v>168</v>
      </c>
      <c r="K14">
        <v>176</v>
      </c>
    </row>
    <row r="15" spans="1:12" ht="12.75">
      <c r="A15" t="s">
        <v>278</v>
      </c>
      <c r="C15">
        <v>211</v>
      </c>
      <c r="D15">
        <v>204</v>
      </c>
      <c r="E15">
        <v>197</v>
      </c>
      <c r="L15" t="s">
        <v>279</v>
      </c>
    </row>
    <row r="16" spans="1:12" ht="12.75">
      <c r="A16" t="s">
        <v>266</v>
      </c>
      <c r="G16">
        <v>145</v>
      </c>
      <c r="H16">
        <v>153</v>
      </c>
      <c r="I16">
        <v>161</v>
      </c>
      <c r="J16">
        <v>169</v>
      </c>
      <c r="K16">
        <v>177</v>
      </c>
      <c r="L16">
        <v>181</v>
      </c>
    </row>
    <row r="17" spans="1:12" ht="12.75">
      <c r="A17" t="s">
        <v>267</v>
      </c>
      <c r="G17">
        <v>146</v>
      </c>
      <c r="H17">
        <v>154</v>
      </c>
      <c r="I17">
        <v>162</v>
      </c>
      <c r="J17">
        <v>170</v>
      </c>
      <c r="K17">
        <v>178</v>
      </c>
      <c r="L17">
        <v>182</v>
      </c>
    </row>
    <row r="18" spans="1:12" ht="12.75">
      <c r="A18" t="s">
        <v>268</v>
      </c>
      <c r="L18">
        <v>183</v>
      </c>
    </row>
    <row r="20" spans="3:6" ht="12.75">
      <c r="C20" t="s">
        <v>272</v>
      </c>
      <c r="D20" t="s">
        <v>273</v>
      </c>
      <c r="E20" t="s">
        <v>274</v>
      </c>
      <c r="F20" t="s">
        <v>275</v>
      </c>
    </row>
    <row r="21" spans="1:6" ht="12.75">
      <c r="A21" t="s">
        <v>269</v>
      </c>
      <c r="C21">
        <v>14</v>
      </c>
      <c r="D21">
        <v>36</v>
      </c>
      <c r="E21">
        <v>38</v>
      </c>
      <c r="F21">
        <v>77</v>
      </c>
    </row>
    <row r="22" spans="1:6" ht="12.75">
      <c r="A22" t="s">
        <v>270</v>
      </c>
      <c r="C22">
        <v>20</v>
      </c>
      <c r="D22">
        <v>40</v>
      </c>
      <c r="E22">
        <v>41</v>
      </c>
      <c r="F22">
        <v>82</v>
      </c>
    </row>
    <row r="23" spans="1:6" ht="12.75">
      <c r="A23" t="s">
        <v>271</v>
      </c>
      <c r="C23" t="s">
        <v>276</v>
      </c>
      <c r="D23">
        <v>44</v>
      </c>
      <c r="E23">
        <v>45</v>
      </c>
      <c r="F23">
        <v>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7"/>
  <sheetViews>
    <sheetView tabSelected="1" workbookViewId="0" topLeftCell="S175">
      <selection activeCell="AA191" sqref="AA1:IV16384"/>
    </sheetView>
  </sheetViews>
  <sheetFormatPr defaultColWidth="9.00390625" defaultRowHeight="12.75"/>
  <cols>
    <col min="1" max="1" width="10.25390625" style="0" customWidth="1"/>
    <col min="2" max="2" width="10.25390625" style="0" bestFit="1" customWidth="1"/>
    <col min="9" max="9" width="8.875" style="29" customWidth="1"/>
    <col min="27" max="255" width="9.125" style="19" hidden="1" customWidth="1"/>
    <col min="256" max="16384" width="3.125" style="19" hidden="1" customWidth="1"/>
  </cols>
  <sheetData>
    <row r="1" spans="1:11" ht="12.75">
      <c r="A1" s="60" t="s">
        <v>62</v>
      </c>
      <c r="B1" s="56"/>
      <c r="C1" s="61"/>
      <c r="D1" s="30"/>
      <c r="E1" s="30"/>
      <c r="F1" s="30"/>
      <c r="G1" s="30"/>
      <c r="H1" s="30"/>
      <c r="I1" s="30"/>
      <c r="J1" s="30"/>
      <c r="K1" s="30"/>
    </row>
    <row r="2" spans="1:11" ht="12.75">
      <c r="A2" s="30" t="s">
        <v>216</v>
      </c>
      <c r="B2" s="30">
        <f>RADIANS(B4)</f>
        <v>0.2617993877991494</v>
      </c>
      <c r="C2" s="30"/>
      <c r="D2" s="30"/>
      <c r="E2" s="30"/>
      <c r="F2" s="30"/>
      <c r="G2" s="30"/>
      <c r="H2" s="30"/>
      <c r="I2" s="30"/>
      <c r="J2" s="30"/>
      <c r="K2" s="30"/>
    </row>
    <row r="3" spans="1:15" ht="12.75">
      <c r="A3" s="30" t="s">
        <v>0</v>
      </c>
      <c r="B3" s="40">
        <v>3</v>
      </c>
      <c r="C3" s="30" t="s">
        <v>11</v>
      </c>
      <c r="D3" s="40">
        <v>10</v>
      </c>
      <c r="E3" s="30" t="s">
        <v>63</v>
      </c>
      <c r="F3" s="40">
        <v>5</v>
      </c>
      <c r="G3" s="30"/>
      <c r="H3" s="47" t="s">
        <v>97</v>
      </c>
      <c r="I3" s="31">
        <v>1</v>
      </c>
      <c r="J3" s="47" t="s">
        <v>102</v>
      </c>
      <c r="K3" s="40">
        <f>1*SIN(RADIANS($B$3))</f>
        <v>0.052335956242943835</v>
      </c>
      <c r="L3" t="s">
        <v>163</v>
      </c>
      <c r="M3" s="2">
        <v>1</v>
      </c>
      <c r="N3" t="s">
        <v>164</v>
      </c>
      <c r="O3" s="2">
        <v>1</v>
      </c>
    </row>
    <row r="4" spans="1:15" ht="12.75">
      <c r="A4" s="30" t="s">
        <v>1</v>
      </c>
      <c r="B4" s="40">
        <v>15</v>
      </c>
      <c r="C4" s="30" t="s">
        <v>12</v>
      </c>
      <c r="D4" s="40">
        <v>2</v>
      </c>
      <c r="E4" s="30" t="s">
        <v>65</v>
      </c>
      <c r="F4" s="40">
        <v>0</v>
      </c>
      <c r="G4" s="30"/>
      <c r="H4" s="47" t="s">
        <v>98</v>
      </c>
      <c r="I4" s="40">
        <v>3.63</v>
      </c>
      <c r="J4" s="47" t="s">
        <v>103</v>
      </c>
      <c r="K4" s="40">
        <v>5</v>
      </c>
      <c r="L4" t="s">
        <v>165</v>
      </c>
      <c r="M4" s="2">
        <v>1</v>
      </c>
      <c r="N4" t="s">
        <v>166</v>
      </c>
      <c r="O4" s="2">
        <v>1</v>
      </c>
    </row>
    <row r="5" spans="1:15" ht="12.75">
      <c r="A5" s="30" t="s">
        <v>61</v>
      </c>
      <c r="B5" s="40">
        <v>1</v>
      </c>
      <c r="C5" s="30" t="s">
        <v>7</v>
      </c>
      <c r="D5" s="40">
        <f>$B$7*COS(RADIANS($B$3))</f>
        <v>0.9986295347545738</v>
      </c>
      <c r="E5" s="30" t="s">
        <v>72</v>
      </c>
      <c r="F5" s="40">
        <f>POWER(B67-$F$4,2)</f>
        <v>4</v>
      </c>
      <c r="G5" s="30"/>
      <c r="H5" s="47" t="s">
        <v>99</v>
      </c>
      <c r="I5" s="31">
        <v>6.9</v>
      </c>
      <c r="J5" s="47" t="s">
        <v>104</v>
      </c>
      <c r="K5" s="31">
        <v>4.6</v>
      </c>
      <c r="L5" t="s">
        <v>167</v>
      </c>
      <c r="M5" s="2">
        <v>1</v>
      </c>
      <c r="N5" t="s">
        <v>168</v>
      </c>
      <c r="O5" s="2">
        <v>1</v>
      </c>
    </row>
    <row r="6" spans="1:15" ht="12.75">
      <c r="A6" s="30" t="s">
        <v>22</v>
      </c>
      <c r="B6" s="40">
        <v>0</v>
      </c>
      <c r="C6" s="30" t="s">
        <v>8</v>
      </c>
      <c r="D6" s="40">
        <f>$B$7*SIN(RADIANS($B$3))</f>
        <v>0.052335956242943835</v>
      </c>
      <c r="E6" s="30" t="s">
        <v>71</v>
      </c>
      <c r="F6" s="40">
        <f>POWER(B65-$F$3,2)</f>
        <v>4</v>
      </c>
      <c r="G6" s="30"/>
      <c r="H6" s="47" t="s">
        <v>100</v>
      </c>
      <c r="I6" s="40">
        <v>5.1</v>
      </c>
      <c r="J6" s="47" t="s">
        <v>105</v>
      </c>
      <c r="K6" s="40">
        <v>2.9</v>
      </c>
      <c r="L6" t="s">
        <v>169</v>
      </c>
      <c r="M6" s="2">
        <v>0.1</v>
      </c>
      <c r="N6" t="s">
        <v>170</v>
      </c>
      <c r="O6" s="2">
        <v>0.1</v>
      </c>
    </row>
    <row r="7" spans="1:15" ht="12.75">
      <c r="A7" s="30" t="s">
        <v>2</v>
      </c>
      <c r="B7" s="40">
        <v>1</v>
      </c>
      <c r="C7" s="30" t="s">
        <v>9</v>
      </c>
      <c r="D7" s="40">
        <f>$D$5+$B$8*COS($B$36)</f>
        <v>4.384360683071978</v>
      </c>
      <c r="E7" s="30" t="s">
        <v>68</v>
      </c>
      <c r="F7" s="40">
        <f>SQRT(F5+F6)</f>
        <v>2.8284271247461903</v>
      </c>
      <c r="G7" s="30"/>
      <c r="H7" s="47" t="s">
        <v>101</v>
      </c>
      <c r="I7" s="31">
        <v>7</v>
      </c>
      <c r="J7" s="47" t="s">
        <v>106</v>
      </c>
      <c r="K7" s="31">
        <v>1</v>
      </c>
      <c r="L7" t="s">
        <v>171</v>
      </c>
      <c r="M7" s="2">
        <v>1</v>
      </c>
      <c r="N7" t="s">
        <v>172</v>
      </c>
      <c r="O7" s="2">
        <v>1</v>
      </c>
    </row>
    <row r="8" spans="1:15" ht="12.75">
      <c r="A8" s="30" t="s">
        <v>3</v>
      </c>
      <c r="B8" s="40">
        <v>7</v>
      </c>
      <c r="C8" s="30" t="s">
        <v>10</v>
      </c>
      <c r="D8" s="40">
        <f>$D$6+$B$8*SIN($B$36)</f>
        <v>6.179066290712816</v>
      </c>
      <c r="E8" s="30" t="s">
        <v>69</v>
      </c>
      <c r="F8" s="40">
        <f>ATAN((B67-$F$4)/(B65-$F$3))</f>
        <v>-0.7853981633974483</v>
      </c>
      <c r="G8" s="30"/>
      <c r="H8" s="30" t="s">
        <v>129</v>
      </c>
      <c r="I8" s="40">
        <f>$D$10-$F$11*COS($B$77)</f>
        <v>-0.5355339059327378</v>
      </c>
      <c r="J8" s="30"/>
      <c r="K8" s="31"/>
      <c r="M8" s="2"/>
      <c r="O8" s="2"/>
    </row>
    <row r="9" spans="1:17" ht="12.75">
      <c r="A9" s="30" t="s">
        <v>4</v>
      </c>
      <c r="B9" s="40">
        <v>7</v>
      </c>
      <c r="C9" s="30" t="s">
        <v>64</v>
      </c>
      <c r="D9" s="31">
        <v>0</v>
      </c>
      <c r="E9" s="30" t="s">
        <v>67</v>
      </c>
      <c r="F9" s="40">
        <f>$D$10-$F$7*COS($F$8)</f>
        <v>0.9999999999999996</v>
      </c>
      <c r="G9" s="30"/>
      <c r="H9" s="30" t="s">
        <v>130</v>
      </c>
      <c r="I9" s="40">
        <f>$D$11-$F$11*SIN($B$77)</f>
        <v>5.535533905932738</v>
      </c>
      <c r="J9" s="30"/>
      <c r="K9" s="31"/>
      <c r="L9" s="1"/>
      <c r="O9" s="2"/>
      <c r="Q9" s="2"/>
    </row>
    <row r="10" spans="1:17" ht="12.75">
      <c r="A10" s="30" t="s">
        <v>5</v>
      </c>
      <c r="B10" s="40">
        <f>SQRT((D7-D10)^2+(D8-D11)^2)</f>
        <v>4.402391345962747</v>
      </c>
      <c r="C10" s="30" t="s">
        <v>46</v>
      </c>
      <c r="D10" s="40">
        <v>3</v>
      </c>
      <c r="E10" s="30" t="s">
        <v>66</v>
      </c>
      <c r="F10" s="40">
        <f>$D$11-$F$7*SIN($F$8)</f>
        <v>4</v>
      </c>
      <c r="G10" s="30"/>
      <c r="H10" s="19" t="s">
        <v>178</v>
      </c>
      <c r="I10" s="27">
        <v>9.81</v>
      </c>
      <c r="J10" s="30"/>
      <c r="K10" s="31"/>
      <c r="L10" s="1"/>
      <c r="O10" s="2"/>
      <c r="Q10" s="2"/>
    </row>
    <row r="11" spans="1:26" ht="12.75">
      <c r="A11" s="30" t="s">
        <v>6</v>
      </c>
      <c r="B11" s="40">
        <f>SQRT((D3-D10)^2+(D4-D11)^2)</f>
        <v>7</v>
      </c>
      <c r="C11" s="30" t="s">
        <v>47</v>
      </c>
      <c r="D11" s="40">
        <v>2</v>
      </c>
      <c r="E11" s="30" t="s">
        <v>209</v>
      </c>
      <c r="F11" s="40">
        <v>5</v>
      </c>
      <c r="G11" s="30"/>
      <c r="H11" s="27" t="s">
        <v>208</v>
      </c>
      <c r="I11" s="31">
        <f>(D10-D7)^2+(D11-D8)^2</f>
        <v>19.38104956300769</v>
      </c>
      <c r="J11" s="30"/>
      <c r="K11" s="30"/>
      <c r="O11" s="2"/>
      <c r="Q11" s="2"/>
      <c r="Z11" s="8"/>
    </row>
    <row r="12" spans="1:26" s="62" customFormat="1" ht="12.75">
      <c r="A12" s="48"/>
      <c r="B12" s="56" t="s">
        <v>56</v>
      </c>
      <c r="C12" s="56"/>
      <c r="D12" s="56"/>
      <c r="E12" s="56"/>
      <c r="F12" s="56"/>
      <c r="G12" s="56"/>
      <c r="H12" s="56"/>
      <c r="I12" s="56"/>
      <c r="J12" s="42"/>
      <c r="K12" s="4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24" customFormat="1" ht="12.75">
      <c r="A13" s="30" t="s">
        <v>14</v>
      </c>
      <c r="B13" s="49">
        <f>$B$3</f>
        <v>3</v>
      </c>
      <c r="C13" s="49">
        <f>B13+$B$4</f>
        <v>18</v>
      </c>
      <c r="D13" s="49">
        <f aca="true" t="shared" si="0" ref="D13:Z13">C13+$B$4</f>
        <v>33</v>
      </c>
      <c r="E13" s="49">
        <f t="shared" si="0"/>
        <v>48</v>
      </c>
      <c r="F13" s="49">
        <f t="shared" si="0"/>
        <v>63</v>
      </c>
      <c r="G13" s="49">
        <f t="shared" si="0"/>
        <v>78</v>
      </c>
      <c r="H13" s="49">
        <f t="shared" si="0"/>
        <v>93</v>
      </c>
      <c r="I13" s="49">
        <f t="shared" si="0"/>
        <v>108</v>
      </c>
      <c r="J13" s="49">
        <f t="shared" si="0"/>
        <v>123</v>
      </c>
      <c r="K13" s="49">
        <f t="shared" si="0"/>
        <v>138</v>
      </c>
      <c r="L13" s="4">
        <f t="shared" si="0"/>
        <v>153</v>
      </c>
      <c r="M13" s="4">
        <f t="shared" si="0"/>
        <v>168</v>
      </c>
      <c r="N13" s="4">
        <f t="shared" si="0"/>
        <v>183</v>
      </c>
      <c r="O13" s="4">
        <f t="shared" si="0"/>
        <v>198</v>
      </c>
      <c r="P13" s="4">
        <f t="shared" si="0"/>
        <v>213</v>
      </c>
      <c r="Q13" s="4">
        <f t="shared" si="0"/>
        <v>228</v>
      </c>
      <c r="R13" s="4">
        <f t="shared" si="0"/>
        <v>243</v>
      </c>
      <c r="S13" s="4">
        <f t="shared" si="0"/>
        <v>258</v>
      </c>
      <c r="T13" s="4">
        <f t="shared" si="0"/>
        <v>273</v>
      </c>
      <c r="U13" s="4">
        <f t="shared" si="0"/>
        <v>288</v>
      </c>
      <c r="V13" s="4">
        <f t="shared" si="0"/>
        <v>303</v>
      </c>
      <c r="W13" s="4">
        <f t="shared" si="0"/>
        <v>318</v>
      </c>
      <c r="X13" s="4">
        <f t="shared" si="0"/>
        <v>333</v>
      </c>
      <c r="Y13" s="4">
        <f t="shared" si="0"/>
        <v>348</v>
      </c>
      <c r="Z13" s="4">
        <f t="shared" si="0"/>
        <v>363</v>
      </c>
    </row>
    <row r="14" spans="1:26" s="24" customFormat="1" ht="12.75">
      <c r="A14" s="30" t="s">
        <v>35</v>
      </c>
      <c r="B14" s="31">
        <f>RADIANS(B13)</f>
        <v>0.05235987755982989</v>
      </c>
      <c r="C14" s="31">
        <f>RADIANS(C13)</f>
        <v>0.3141592653589793</v>
      </c>
      <c r="D14" s="31">
        <f>RADIANS(D13)</f>
        <v>0.5759586531581288</v>
      </c>
      <c r="E14" s="31">
        <f aca="true" t="shared" si="1" ref="E14:Z14">RADIANS(E13)</f>
        <v>0.8377580409572782</v>
      </c>
      <c r="F14" s="31">
        <f t="shared" si="1"/>
        <v>1.0995574287564276</v>
      </c>
      <c r="G14" s="31">
        <f t="shared" si="1"/>
        <v>1.361356816555577</v>
      </c>
      <c r="H14" s="31">
        <f t="shared" si="1"/>
        <v>1.6231562043547265</v>
      </c>
      <c r="I14" s="31">
        <f t="shared" si="1"/>
        <v>1.8849555921538759</v>
      </c>
      <c r="J14" s="31">
        <f t="shared" si="1"/>
        <v>2.1467549799530254</v>
      </c>
      <c r="K14" s="31">
        <f t="shared" si="1"/>
        <v>2.4085543677521746</v>
      </c>
      <c r="L14" s="2">
        <f t="shared" si="1"/>
        <v>2.670353755551324</v>
      </c>
      <c r="M14" s="2">
        <f t="shared" si="1"/>
        <v>2.9321531433504737</v>
      </c>
      <c r="N14" s="2">
        <f t="shared" si="1"/>
        <v>3.193952531149623</v>
      </c>
      <c r="O14" s="2">
        <f t="shared" si="1"/>
        <v>3.4557519189487724</v>
      </c>
      <c r="P14" s="2">
        <f t="shared" si="1"/>
        <v>3.717551306747922</v>
      </c>
      <c r="Q14" s="2">
        <f t="shared" si="1"/>
        <v>3.9793506945470716</v>
      </c>
      <c r="R14" s="2">
        <f t="shared" si="1"/>
        <v>4.241150082346221</v>
      </c>
      <c r="S14" s="2">
        <f t="shared" si="1"/>
        <v>4.50294947014537</v>
      </c>
      <c r="T14" s="2">
        <f t="shared" si="1"/>
        <v>4.76474885794452</v>
      </c>
      <c r="U14" s="2">
        <f t="shared" si="1"/>
        <v>5.026548245743669</v>
      </c>
      <c r="V14" s="2">
        <f t="shared" si="1"/>
        <v>5.288347633542818</v>
      </c>
      <c r="W14" s="2">
        <f t="shared" si="1"/>
        <v>5.550147021341968</v>
      </c>
      <c r="X14" s="2">
        <f t="shared" si="1"/>
        <v>5.811946409141117</v>
      </c>
      <c r="Y14" s="2">
        <f t="shared" si="1"/>
        <v>6.073745796940266</v>
      </c>
      <c r="Z14" s="2">
        <f t="shared" si="1"/>
        <v>6.335545184739416</v>
      </c>
    </row>
    <row r="15" spans="1:26" s="24" customFormat="1" ht="12.75">
      <c r="A15" s="50" t="s">
        <v>15</v>
      </c>
      <c r="B15" s="31">
        <f>RADIANS(B13-$B$3)</f>
        <v>0</v>
      </c>
      <c r="C15" s="31">
        <f aca="true" t="shared" si="2" ref="C15:M15">RADIANS(C13-$B$3)</f>
        <v>0.2617993877991494</v>
      </c>
      <c r="D15" s="31">
        <f>RADIANS(D13-$B$3)</f>
        <v>0.5235987755982988</v>
      </c>
      <c r="E15" s="31">
        <f t="shared" si="2"/>
        <v>0.7853981633974483</v>
      </c>
      <c r="F15" s="31">
        <f t="shared" si="2"/>
        <v>1.0471975511965976</v>
      </c>
      <c r="G15" s="31">
        <f t="shared" si="2"/>
        <v>1.3089969389957472</v>
      </c>
      <c r="H15" s="31">
        <f t="shared" si="2"/>
        <v>1.5707963267948966</v>
      </c>
      <c r="I15" s="31">
        <f t="shared" si="2"/>
        <v>1.8325957145940461</v>
      </c>
      <c r="J15" s="31">
        <f t="shared" si="2"/>
        <v>2.0943951023931953</v>
      </c>
      <c r="K15" s="31">
        <f t="shared" si="2"/>
        <v>2.356194490192345</v>
      </c>
      <c r="L15" s="2">
        <f t="shared" si="2"/>
        <v>2.6179938779914944</v>
      </c>
      <c r="M15" s="2">
        <f t="shared" si="2"/>
        <v>2.8797932657906435</v>
      </c>
      <c r="N15" s="2">
        <f aca="true" t="shared" si="3" ref="N15:Z15">RADIANS(N13-$B$3)</f>
        <v>3.141592653589793</v>
      </c>
      <c r="O15" s="2">
        <f t="shared" si="3"/>
        <v>3.4033920413889427</v>
      </c>
      <c r="P15" s="2">
        <f t="shared" si="3"/>
        <v>3.6651914291880923</v>
      </c>
      <c r="Q15" s="2">
        <f t="shared" si="3"/>
        <v>3.9269908169872414</v>
      </c>
      <c r="R15" s="2">
        <f t="shared" si="3"/>
        <v>4.1887902047863905</v>
      </c>
      <c r="S15" s="2">
        <f t="shared" si="3"/>
        <v>4.4505895925855405</v>
      </c>
      <c r="T15" s="2">
        <f t="shared" si="3"/>
        <v>4.71238898038469</v>
      </c>
      <c r="U15" s="2">
        <f t="shared" si="3"/>
        <v>4.974188368183839</v>
      </c>
      <c r="V15" s="2">
        <f t="shared" si="3"/>
        <v>5.235987755982989</v>
      </c>
      <c r="W15" s="2">
        <f t="shared" si="3"/>
        <v>5.497787143782138</v>
      </c>
      <c r="X15" s="2">
        <f t="shared" si="3"/>
        <v>5.759586531581287</v>
      </c>
      <c r="Y15" s="2">
        <f t="shared" si="3"/>
        <v>6.021385919380437</v>
      </c>
      <c r="Z15" s="2">
        <f t="shared" si="3"/>
        <v>6.283185307179586</v>
      </c>
    </row>
    <row r="16" spans="1:26" s="24" customFormat="1" ht="12.75">
      <c r="A16" s="30" t="s">
        <v>31</v>
      </c>
      <c r="B16" s="31">
        <f>SIN(B15)</f>
        <v>0</v>
      </c>
      <c r="C16" s="31">
        <f aca="true" t="shared" si="4" ref="C16:Z16">SIN(C15)</f>
        <v>0.25881904510252074</v>
      </c>
      <c r="D16" s="31">
        <f t="shared" si="4"/>
        <v>0.49999999999999994</v>
      </c>
      <c r="E16" s="31">
        <f t="shared" si="4"/>
        <v>0.7071067811865475</v>
      </c>
      <c r="F16" s="31">
        <f t="shared" si="4"/>
        <v>0.8660254037844386</v>
      </c>
      <c r="G16" s="31">
        <f t="shared" si="4"/>
        <v>0.9659258262890683</v>
      </c>
      <c r="H16" s="31">
        <f t="shared" si="4"/>
        <v>1</v>
      </c>
      <c r="I16" s="31">
        <f t="shared" si="4"/>
        <v>0.9659258262890683</v>
      </c>
      <c r="J16" s="31">
        <f t="shared" si="4"/>
        <v>0.8660254037844387</v>
      </c>
      <c r="K16" s="31">
        <f t="shared" si="4"/>
        <v>0.7071067811865476</v>
      </c>
      <c r="L16" s="2">
        <f t="shared" si="4"/>
        <v>0.49999999999999994</v>
      </c>
      <c r="M16" s="2">
        <f t="shared" si="4"/>
        <v>0.258819045102521</v>
      </c>
      <c r="N16" s="2">
        <f t="shared" si="4"/>
        <v>1.22514845490862E-16</v>
      </c>
      <c r="O16" s="2">
        <f t="shared" si="4"/>
        <v>-0.2588190451025208</v>
      </c>
      <c r="P16" s="2">
        <f t="shared" si="4"/>
        <v>-0.5000000000000001</v>
      </c>
      <c r="Q16" s="2">
        <f t="shared" si="4"/>
        <v>-0.7071067811865475</v>
      </c>
      <c r="R16" s="2">
        <f t="shared" si="4"/>
        <v>-0.8660254037844384</v>
      </c>
      <c r="S16" s="2">
        <f t="shared" si="4"/>
        <v>-0.9659258262890683</v>
      </c>
      <c r="T16" s="2">
        <f t="shared" si="4"/>
        <v>-1</v>
      </c>
      <c r="U16" s="2">
        <f t="shared" si="4"/>
        <v>-0.9659258262890684</v>
      </c>
      <c r="V16" s="2">
        <f t="shared" si="4"/>
        <v>-0.8660254037844386</v>
      </c>
      <c r="W16" s="2">
        <f t="shared" si="4"/>
        <v>-0.7071067811865477</v>
      </c>
      <c r="X16" s="2">
        <f t="shared" si="4"/>
        <v>-0.5000000000000004</v>
      </c>
      <c r="Y16" s="2">
        <f t="shared" si="4"/>
        <v>-0.2588190451025207</v>
      </c>
      <c r="Z16" s="2">
        <f t="shared" si="4"/>
        <v>-2.45029690981724E-16</v>
      </c>
    </row>
    <row r="17" spans="1:26" s="24" customFormat="1" ht="12.75">
      <c r="A17" s="30" t="s">
        <v>32</v>
      </c>
      <c r="B17" s="31">
        <f>COS(B15)</f>
        <v>1</v>
      </c>
      <c r="C17" s="31">
        <f>COS(C15)</f>
        <v>0.9659258262890683</v>
      </c>
      <c r="D17" s="31">
        <f aca="true" t="shared" si="5" ref="D17:Z17">COS(D15)</f>
        <v>0.8660254037844387</v>
      </c>
      <c r="E17" s="31">
        <f t="shared" si="5"/>
        <v>0.7071067811865476</v>
      </c>
      <c r="F17" s="31">
        <f t="shared" si="5"/>
        <v>0.5000000000000001</v>
      </c>
      <c r="G17" s="31">
        <f t="shared" si="5"/>
        <v>0.25881904510252074</v>
      </c>
      <c r="H17" s="31">
        <f t="shared" si="5"/>
        <v>6.1257422745431E-17</v>
      </c>
      <c r="I17" s="31">
        <f t="shared" si="5"/>
        <v>-0.25881904510252085</v>
      </c>
      <c r="J17" s="31">
        <f t="shared" si="5"/>
        <v>-0.4999999999999998</v>
      </c>
      <c r="K17" s="31">
        <f t="shared" si="5"/>
        <v>-0.7071067811865475</v>
      </c>
      <c r="L17" s="2">
        <f t="shared" si="5"/>
        <v>-0.8660254037844387</v>
      </c>
      <c r="M17" s="2">
        <f t="shared" si="5"/>
        <v>-0.9659258262890682</v>
      </c>
      <c r="N17" s="2">
        <f t="shared" si="5"/>
        <v>-1</v>
      </c>
      <c r="O17" s="2">
        <f t="shared" si="5"/>
        <v>-0.9659258262890683</v>
      </c>
      <c r="P17" s="2">
        <f t="shared" si="5"/>
        <v>-0.8660254037844386</v>
      </c>
      <c r="Q17" s="2">
        <f t="shared" si="5"/>
        <v>-0.7071067811865477</v>
      </c>
      <c r="R17" s="2">
        <f t="shared" si="5"/>
        <v>-0.5000000000000004</v>
      </c>
      <c r="S17" s="2">
        <f t="shared" si="5"/>
        <v>-0.25881904510252063</v>
      </c>
      <c r="T17" s="2">
        <f t="shared" si="5"/>
        <v>-1.83772268236293E-16</v>
      </c>
      <c r="U17" s="2">
        <f t="shared" si="5"/>
        <v>0.2588190451025203</v>
      </c>
      <c r="V17" s="2">
        <f t="shared" si="5"/>
        <v>0.5000000000000001</v>
      </c>
      <c r="W17" s="2">
        <f t="shared" si="5"/>
        <v>0.7071067811865474</v>
      </c>
      <c r="X17" s="2">
        <f t="shared" si="5"/>
        <v>0.8660254037844384</v>
      </c>
      <c r="Y17" s="2">
        <f t="shared" si="5"/>
        <v>0.9659258262890683</v>
      </c>
      <c r="Z17" s="2">
        <f t="shared" si="5"/>
        <v>1</v>
      </c>
    </row>
    <row r="18" spans="1:26" s="24" customFormat="1" ht="12.7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4" customFormat="1" ht="12.75">
      <c r="A19" s="30" t="s">
        <v>30</v>
      </c>
      <c r="B19" s="31">
        <f>IF($B$6=0,B15/$B$5,(-$B$5+($B$5^2+2*$B$6*B15)^0.5)/$B$6)</f>
        <v>0</v>
      </c>
      <c r="C19" s="31">
        <f>IF($B$6=0,C15/$B$5,(-$B$5+($B$5^2+2*$B$6*C15)^0.5)/$B$6)</f>
        <v>0.2617993877991494</v>
      </c>
      <c r="D19" s="31">
        <f>IF($B$6=0,D15/$B$5,(-$B$5+($B$5^2+2*$B$6*D15)^0.5)/$B$6)</f>
        <v>0.5235987755982988</v>
      </c>
      <c r="E19" s="31">
        <f>IF($B$6=0,E15/$B$5,(-$B$5+($B$5^2+2*$B$6*E15)^0.5)/$B$6)</f>
        <v>0.7853981633974483</v>
      </c>
      <c r="F19" s="31">
        <f>IF($B$6=0,F15/$B$5,(-$B$5+($B$5^2+2*$B$6*F15)^0.5)/$B$6)</f>
        <v>1.0471975511965976</v>
      </c>
      <c r="G19" s="31">
        <f>IF($B$6=0,G15/$B$5,(-$B$5+($B$5^2+2*$B$6*G15)^0.5)/$B$6)</f>
        <v>1.3089969389957472</v>
      </c>
      <c r="H19" s="31">
        <f>IF($B$6=0,H15/$B$5,(-$B$5+($B$5^2+2*$B$6*H15)^0.5)/$B$6)</f>
        <v>1.5707963267948966</v>
      </c>
      <c r="I19" s="31">
        <f>IF($B$6=0,I15/$B$5,(-$B$5+($B$5^2+2*$B$6*I15)^0.5)/$B$6)</f>
        <v>1.8325957145940461</v>
      </c>
      <c r="J19" s="31">
        <f>IF($B$6=0,J15/$B$5,(-$B$5+($B$5^2+2*$B$6*J15)^0.5)/$B$6)</f>
        <v>2.0943951023931953</v>
      </c>
      <c r="K19" s="31">
        <f>IF($B$6=0,K15/$B$5,(-$B$5+($B$5^2+2*$B$6*K15)^0.5)/$B$6)</f>
        <v>2.356194490192345</v>
      </c>
      <c r="L19" s="2">
        <f>IF($B$6=0,L15/$B$5,(-$B$5+($B$5^2+2*$B$6*L15)^0.5)/$B$6)</f>
        <v>2.6179938779914944</v>
      </c>
      <c r="M19" s="2">
        <f>IF($B$6=0,M15/$B$5,(-$B$5+($B$5^2+2*$B$6*M15)^0.5)/$B$6)</f>
        <v>2.8797932657906435</v>
      </c>
      <c r="N19" s="2">
        <f>IF($B$6=0,N15/$B$5,(-$B$5+($B$5^2+2*$B$6*N15)^0.5)/$B$6)</f>
        <v>3.141592653589793</v>
      </c>
      <c r="O19" s="2">
        <f>IF($B$6=0,O15/$B$5,(-$B$5+($B$5^2+2*$B$6*O15)^0.5)/$B$6)</f>
        <v>3.4033920413889427</v>
      </c>
      <c r="P19" s="2">
        <f>IF($B$6=0,P15/$B$5,(-$B$5+($B$5^2+2*$B$6*P15)^0.5)/$B$6)</f>
        <v>3.6651914291880923</v>
      </c>
      <c r="Q19" s="2">
        <f>IF($B$6=0,Q15/$B$5,(-$B$5+($B$5^2+2*$B$6*Q15)^0.5)/$B$6)</f>
        <v>3.9269908169872414</v>
      </c>
      <c r="R19" s="2">
        <f>IF($B$6=0,R15/$B$5,(-$B$5+($B$5^2+2*$B$6*R15)^0.5)/$B$6)</f>
        <v>4.1887902047863905</v>
      </c>
      <c r="S19" s="2">
        <f>IF($B$6=0,S15/$B$5,(-$B$5+($B$5^2+2*$B$6*S15)^0.5)/$B$6)</f>
        <v>4.4505895925855405</v>
      </c>
      <c r="T19" s="2">
        <f>IF($B$6=0,T15/$B$5,(-$B$5+($B$5^2+2*$B$6*T15)^0.5)/$B$6)</f>
        <v>4.71238898038469</v>
      </c>
      <c r="U19" s="2">
        <f>IF($B$6=0,U15/$B$5,(-$B$5+($B$5^2+2*$B$6*U15)^0.5)/$B$6)</f>
        <v>4.974188368183839</v>
      </c>
      <c r="V19" s="2">
        <f>IF($B$6=0,V15/$B$5,(-$B$5+($B$5^2+2*$B$6*V15)^0.5)/$B$6)</f>
        <v>5.235987755982989</v>
      </c>
      <c r="W19" s="2">
        <f>IF($B$6=0,W15/$B$5,(-$B$5+($B$5^2+2*$B$6*W15)^0.5)/$B$6)</f>
        <v>5.497787143782138</v>
      </c>
      <c r="X19" s="2">
        <f>IF($B$6=0,X15/$B$5,(-$B$5+($B$5^2+2*$B$6*X15)^0.5)/$B$6)</f>
        <v>5.759586531581287</v>
      </c>
      <c r="Y19" s="2">
        <f>IF($B$6=0,Y15/$B$5,(-$B$5+($B$5^2+2*$B$6*Y15)^0.5)/$B$6)</f>
        <v>6.021385919380437</v>
      </c>
      <c r="Z19" s="2">
        <f>IF($B$6=0,Z15/$B$5,(-$B$5+($B$5^2+2*$B$6*Z15)^0.5)/$B$6)</f>
        <v>6.283185307179586</v>
      </c>
    </row>
    <row r="20" spans="1:26" s="24" customFormat="1" ht="12.75">
      <c r="A20" s="30" t="s">
        <v>13</v>
      </c>
      <c r="B20" s="31">
        <f>$B$5+$B$6*B19</f>
        <v>1</v>
      </c>
      <c r="C20" s="31">
        <f>$B$5+$B$6*C19</f>
        <v>1</v>
      </c>
      <c r="D20" s="31">
        <f>$B$5+$B$6*D19</f>
        <v>1</v>
      </c>
      <c r="E20" s="31">
        <f>$B$5+$B$6*E19</f>
        <v>1</v>
      </c>
      <c r="F20" s="31">
        <f>$B$5+$B$6*F19</f>
        <v>1</v>
      </c>
      <c r="G20" s="31">
        <f>$B$5+$B$6*G19</f>
        <v>1</v>
      </c>
      <c r="H20" s="31">
        <f>$B$5+$B$6*H19</f>
        <v>1</v>
      </c>
      <c r="I20" s="31">
        <f>$B$5+$B$6*I19</f>
        <v>1</v>
      </c>
      <c r="J20" s="31">
        <f>$B$5+$B$6*J19</f>
        <v>1</v>
      </c>
      <c r="K20" s="31">
        <f>$B$5+$B$6*K19</f>
        <v>1</v>
      </c>
      <c r="L20" s="2">
        <f>$B$5+$B$6*L19</f>
        <v>1</v>
      </c>
      <c r="M20" s="2">
        <f>$B$5+$B$6*M19</f>
        <v>1</v>
      </c>
      <c r="N20" s="2">
        <f>$B$5+$B$6*N19</f>
        <v>1</v>
      </c>
      <c r="O20" s="2">
        <f>$B$5+$B$6*O19</f>
        <v>1</v>
      </c>
      <c r="P20" s="2">
        <f>$B$5+$B$6*P19</f>
        <v>1</v>
      </c>
      <c r="Q20" s="2">
        <f>$B$5+$B$6*Q19</f>
        <v>1</v>
      </c>
      <c r="R20" s="2">
        <f>$B$5+$B$6*R19</f>
        <v>1</v>
      </c>
      <c r="S20" s="2">
        <f>$B$5+$B$6*S19</f>
        <v>1</v>
      </c>
      <c r="T20" s="2">
        <f>$B$5+$B$6*T19</f>
        <v>1</v>
      </c>
      <c r="U20" s="2">
        <f>$B$5+$B$6*U19</f>
        <v>1</v>
      </c>
      <c r="V20" s="2">
        <f>$B$5+$B$6*V19</f>
        <v>1</v>
      </c>
      <c r="W20" s="2">
        <f>$B$5+$B$6*W19</f>
        <v>1</v>
      </c>
      <c r="X20" s="2">
        <f>$B$5+$B$6*X19</f>
        <v>1</v>
      </c>
      <c r="Y20" s="2">
        <f>$B$5+$B$6*Y19</f>
        <v>1</v>
      </c>
      <c r="Z20" s="2">
        <f>$B$5+$B$6*Z19</f>
        <v>1</v>
      </c>
    </row>
    <row r="21" spans="1:26" s="24" customFormat="1" ht="12.7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4" customFormat="1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9"/>
    </row>
    <row r="23" spans="1:26" s="63" customFormat="1" ht="12.75">
      <c r="A23" s="48"/>
      <c r="B23" s="57" t="s">
        <v>57</v>
      </c>
      <c r="C23" s="57"/>
      <c r="D23" s="57"/>
      <c r="E23" s="57"/>
      <c r="F23" s="57"/>
      <c r="G23" s="57"/>
      <c r="H23" s="57"/>
      <c r="I23" s="57"/>
      <c r="J23" s="57"/>
      <c r="K23" s="3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24" customFormat="1" ht="12.75">
      <c r="A24" s="30" t="s">
        <v>16</v>
      </c>
      <c r="B24" s="31">
        <f>$D$5*B17-$D$6*B16</f>
        <v>0.9986295347545738</v>
      </c>
      <c r="C24" s="31">
        <f>$D$5*C17-$D$6*C16</f>
        <v>0.9510565162951535</v>
      </c>
      <c r="D24" s="31">
        <f aca="true" t="shared" si="6" ref="D24:Z24">$D$5*D17-$D$6*D16</f>
        <v>0.838670567945424</v>
      </c>
      <c r="E24" s="31">
        <f t="shared" si="6"/>
        <v>0.6691306063588582</v>
      </c>
      <c r="F24" s="31">
        <f t="shared" si="6"/>
        <v>0.45399049973954686</v>
      </c>
      <c r="G24" s="31">
        <f t="shared" si="6"/>
        <v>0.20791169081775931</v>
      </c>
      <c r="H24" s="31">
        <f t="shared" si="6"/>
        <v>-0.05233595624294377</v>
      </c>
      <c r="I24" s="31">
        <f t="shared" si="6"/>
        <v>-0.3090169943749475</v>
      </c>
      <c r="J24" s="31">
        <f t="shared" si="6"/>
        <v>-0.5446390350150269</v>
      </c>
      <c r="K24" s="31">
        <f t="shared" si="6"/>
        <v>-0.7431448254773941</v>
      </c>
      <c r="L24" s="2">
        <f t="shared" si="6"/>
        <v>-0.8910065241883678</v>
      </c>
      <c r="M24" s="2">
        <f t="shared" si="6"/>
        <v>-0.9781476007338055</v>
      </c>
      <c r="N24" s="2">
        <f t="shared" si="6"/>
        <v>-0.9986295347545738</v>
      </c>
      <c r="O24" s="2">
        <f t="shared" si="6"/>
        <v>-0.9510565162951535</v>
      </c>
      <c r="P24" s="2">
        <f t="shared" si="6"/>
        <v>-0.8386705679454238</v>
      </c>
      <c r="Q24" s="2">
        <f t="shared" si="6"/>
        <v>-0.6691306063588583</v>
      </c>
      <c r="R24" s="2">
        <f t="shared" si="6"/>
        <v>-0.45399049973954725</v>
      </c>
      <c r="S24" s="2">
        <f t="shared" si="6"/>
        <v>-0.2079116908177592</v>
      </c>
      <c r="T24" s="2">
        <f t="shared" si="6"/>
        <v>0.052335956242943654</v>
      </c>
      <c r="U24" s="2">
        <f t="shared" si="6"/>
        <v>0.309016994374947</v>
      </c>
      <c r="V24" s="2">
        <f t="shared" si="6"/>
        <v>0.5446390350150272</v>
      </c>
      <c r="W24" s="2">
        <f t="shared" si="6"/>
        <v>0.743144825477394</v>
      </c>
      <c r="X24" s="2">
        <f t="shared" si="6"/>
        <v>0.8910065241883676</v>
      </c>
      <c r="Y24" s="2">
        <f t="shared" si="6"/>
        <v>0.9781476007338056</v>
      </c>
      <c r="Z24" s="2">
        <f t="shared" si="6"/>
        <v>0.9986295347545738</v>
      </c>
    </row>
    <row r="25" spans="1:26" s="24" customFormat="1" ht="12.75">
      <c r="A25" s="30" t="s">
        <v>17</v>
      </c>
      <c r="B25" s="31">
        <f>$D$5*B16+$D$6*B17</f>
        <v>0.052335956242943835</v>
      </c>
      <c r="C25" s="31">
        <f>$D$5*C16+$D$6*C17</f>
        <v>0.3090169943749474</v>
      </c>
      <c r="D25" s="31">
        <f aca="true" t="shared" si="7" ref="D25:Z25">$D$5*D16+$D$6*D17</f>
        <v>0.544639035015027</v>
      </c>
      <c r="E25" s="31">
        <f t="shared" si="7"/>
        <v>0.7431448254773941</v>
      </c>
      <c r="F25" s="31">
        <f t="shared" si="7"/>
        <v>0.8910065241883678</v>
      </c>
      <c r="G25" s="31">
        <f t="shared" si="7"/>
        <v>0.9781476007338056</v>
      </c>
      <c r="H25" s="31">
        <f t="shared" si="7"/>
        <v>0.9986295347545738</v>
      </c>
      <c r="I25" s="31">
        <f t="shared" si="7"/>
        <v>0.9510565162951535</v>
      </c>
      <c r="J25" s="31">
        <f t="shared" si="7"/>
        <v>0.838670567945424</v>
      </c>
      <c r="K25" s="31">
        <f t="shared" si="7"/>
        <v>0.6691306063588582</v>
      </c>
      <c r="L25" s="2">
        <f t="shared" si="7"/>
        <v>0.4539904997395467</v>
      </c>
      <c r="M25" s="2">
        <f t="shared" si="7"/>
        <v>0.20791169081775962</v>
      </c>
      <c r="N25" s="2">
        <f t="shared" si="7"/>
        <v>-0.05233595624294371</v>
      </c>
      <c r="O25" s="2">
        <f t="shared" si="7"/>
        <v>-0.30901699437494745</v>
      </c>
      <c r="P25" s="2">
        <f t="shared" si="7"/>
        <v>-0.5446390350150272</v>
      </c>
      <c r="Q25" s="2">
        <f t="shared" si="7"/>
        <v>-0.7431448254773941</v>
      </c>
      <c r="R25" s="2">
        <f t="shared" si="7"/>
        <v>-0.8910065241883676</v>
      </c>
      <c r="S25" s="2">
        <f t="shared" si="7"/>
        <v>-0.9781476007338056</v>
      </c>
      <c r="T25" s="2">
        <f t="shared" si="7"/>
        <v>-0.9986295347545738</v>
      </c>
      <c r="U25" s="2">
        <f t="shared" si="7"/>
        <v>-0.9510565162951536</v>
      </c>
      <c r="V25" s="2">
        <f t="shared" si="7"/>
        <v>-0.8386705679454238</v>
      </c>
      <c r="W25" s="2">
        <f t="shared" si="7"/>
        <v>-0.6691306063588583</v>
      </c>
      <c r="X25" s="2">
        <f t="shared" si="7"/>
        <v>-0.45399049973954725</v>
      </c>
      <c r="Y25" s="2">
        <f t="shared" si="7"/>
        <v>-0.20791169081775926</v>
      </c>
      <c r="Z25" s="2">
        <f t="shared" si="7"/>
        <v>0.05233595624294359</v>
      </c>
    </row>
    <row r="26" spans="1:26" s="24" customFormat="1" ht="12.75">
      <c r="A26" s="30" t="s">
        <v>18</v>
      </c>
      <c r="B26" s="31">
        <f>-B20*B25</f>
        <v>-0.052335956242943835</v>
      </c>
      <c r="C26" s="31">
        <f>-C20*C25</f>
        <v>-0.3090169943749474</v>
      </c>
      <c r="D26" s="31">
        <f>-D20*D25</f>
        <v>-0.544639035015027</v>
      </c>
      <c r="E26" s="31">
        <f>-E20*E25</f>
        <v>-0.7431448254773941</v>
      </c>
      <c r="F26" s="31">
        <f>-F20*F25</f>
        <v>-0.8910065241883678</v>
      </c>
      <c r="G26" s="31">
        <f>-G20*G25</f>
        <v>-0.9781476007338056</v>
      </c>
      <c r="H26" s="31">
        <f>-H20*H25</f>
        <v>-0.9986295347545738</v>
      </c>
      <c r="I26" s="31">
        <f>-I20*I25</f>
        <v>-0.9510565162951535</v>
      </c>
      <c r="J26" s="31">
        <f>-J20*J25</f>
        <v>-0.838670567945424</v>
      </c>
      <c r="K26" s="31">
        <f>-K20*K25</f>
        <v>-0.6691306063588582</v>
      </c>
      <c r="L26" s="2">
        <f>-L20*L25</f>
        <v>-0.4539904997395467</v>
      </c>
      <c r="M26" s="2">
        <f>-M20*M25</f>
        <v>-0.20791169081775962</v>
      </c>
      <c r="N26" s="2">
        <f>-N20*N25</f>
        <v>0.05233595624294371</v>
      </c>
      <c r="O26" s="2">
        <f>-O20*O25</f>
        <v>0.30901699437494745</v>
      </c>
      <c r="P26" s="2">
        <f>-P20*P25</f>
        <v>0.5446390350150272</v>
      </c>
      <c r="Q26" s="2">
        <f>-Q20*Q25</f>
        <v>0.7431448254773941</v>
      </c>
      <c r="R26" s="2">
        <f>-R20*R25</f>
        <v>0.8910065241883676</v>
      </c>
      <c r="S26" s="2">
        <f>-S20*S25</f>
        <v>0.9781476007338056</v>
      </c>
      <c r="T26" s="2">
        <f>-T20*T25</f>
        <v>0.9986295347545738</v>
      </c>
      <c r="U26" s="2">
        <f>-U20*U25</f>
        <v>0.9510565162951536</v>
      </c>
      <c r="V26" s="2">
        <f>-V20*V25</f>
        <v>0.8386705679454238</v>
      </c>
      <c r="W26" s="2">
        <f>-W20*W25</f>
        <v>0.6691306063588583</v>
      </c>
      <c r="X26" s="2">
        <f>-X20*X25</f>
        <v>0.45399049973954725</v>
      </c>
      <c r="Y26" s="2">
        <f>-Y20*Y25</f>
        <v>0.20791169081775926</v>
      </c>
      <c r="Z26" s="2">
        <f>-Z20*Z25</f>
        <v>-0.05233595624294359</v>
      </c>
    </row>
    <row r="27" spans="1:26" s="24" customFormat="1" ht="12.75">
      <c r="A27" s="30" t="s">
        <v>19</v>
      </c>
      <c r="B27" s="31">
        <f>B20*B24</f>
        <v>0.9986295347545738</v>
      </c>
      <c r="C27" s="31">
        <f>C20*C24</f>
        <v>0.9510565162951535</v>
      </c>
      <c r="D27" s="31">
        <f>D20*D24</f>
        <v>0.838670567945424</v>
      </c>
      <c r="E27" s="31">
        <f>E20*E24</f>
        <v>0.6691306063588582</v>
      </c>
      <c r="F27" s="31">
        <f>F20*F24</f>
        <v>0.45399049973954686</v>
      </c>
      <c r="G27" s="31">
        <f>G20*G24</f>
        <v>0.20791169081775931</v>
      </c>
      <c r="H27" s="31">
        <f>H20*H24</f>
        <v>-0.05233595624294377</v>
      </c>
      <c r="I27" s="31">
        <f>I20*I24</f>
        <v>-0.3090169943749475</v>
      </c>
      <c r="J27" s="31">
        <f>J20*J24</f>
        <v>-0.5446390350150269</v>
      </c>
      <c r="K27" s="31">
        <f>K20*K24</f>
        <v>-0.7431448254773941</v>
      </c>
      <c r="L27" s="2">
        <f>L20*L24</f>
        <v>-0.8910065241883678</v>
      </c>
      <c r="M27" s="2">
        <f>M20*M24</f>
        <v>-0.9781476007338055</v>
      </c>
      <c r="N27" s="2">
        <f>N20*N24</f>
        <v>-0.9986295347545738</v>
      </c>
      <c r="O27" s="2">
        <f>O20*O24</f>
        <v>-0.9510565162951535</v>
      </c>
      <c r="P27" s="2">
        <f>P20*P24</f>
        <v>-0.8386705679454238</v>
      </c>
      <c r="Q27" s="2">
        <f>Q20*Q24</f>
        <v>-0.6691306063588583</v>
      </c>
      <c r="R27" s="2">
        <f>R20*R24</f>
        <v>-0.45399049973954725</v>
      </c>
      <c r="S27" s="2">
        <f>S20*S24</f>
        <v>-0.2079116908177592</v>
      </c>
      <c r="T27" s="2">
        <f>T20*T24</f>
        <v>0.052335956242943654</v>
      </c>
      <c r="U27" s="2">
        <f>U20*U24</f>
        <v>0.309016994374947</v>
      </c>
      <c r="V27" s="2">
        <f>V20*V24</f>
        <v>0.5446390350150272</v>
      </c>
      <c r="W27" s="2">
        <f>W20*W24</f>
        <v>0.743144825477394</v>
      </c>
      <c r="X27" s="2">
        <f>X20*X24</f>
        <v>0.8910065241883676</v>
      </c>
      <c r="Y27" s="2">
        <f>Y20*Y24</f>
        <v>0.9781476007338056</v>
      </c>
      <c r="Z27" s="2">
        <f>Z20*Z24</f>
        <v>0.9986295347545738</v>
      </c>
    </row>
    <row r="28" spans="1:26" s="24" customFormat="1" ht="12.75">
      <c r="A28" s="30" t="s">
        <v>20</v>
      </c>
      <c r="B28" s="31">
        <f>-B20*B27-$B$6*B25</f>
        <v>-0.9986295347545738</v>
      </c>
      <c r="C28" s="31">
        <f>-C20*C27-$B$6*C25</f>
        <v>-0.9510565162951535</v>
      </c>
      <c r="D28" s="31">
        <f>-D20*D27-$B$6*D25</f>
        <v>-0.838670567945424</v>
      </c>
      <c r="E28" s="31">
        <f>-E20*E27-$B$6*E25</f>
        <v>-0.6691306063588582</v>
      </c>
      <c r="F28" s="31">
        <f>-F20*F27-$B$6*F25</f>
        <v>-0.45399049973954686</v>
      </c>
      <c r="G28" s="31">
        <f>-G20*G27-$B$6*G25</f>
        <v>-0.20791169081775931</v>
      </c>
      <c r="H28" s="31">
        <f>-H20*H27-$B$6*H25</f>
        <v>0.05233595624294377</v>
      </c>
      <c r="I28" s="31">
        <f>-I20*I27-$B$6*I25</f>
        <v>0.3090169943749475</v>
      </c>
      <c r="J28" s="31">
        <f>-J20*J27-$B$6*J25</f>
        <v>0.5446390350150269</v>
      </c>
      <c r="K28" s="31">
        <f>-K20*K27-$B$6*K25</f>
        <v>0.7431448254773941</v>
      </c>
      <c r="L28" s="2">
        <f>-L20*L27-$B$6*L25</f>
        <v>0.8910065241883678</v>
      </c>
      <c r="M28" s="2">
        <f>-M20*M27-$B$6*M25</f>
        <v>0.9781476007338055</v>
      </c>
      <c r="N28" s="2">
        <f>-N20*N27-$B$6*N25</f>
        <v>0.9986295347545738</v>
      </c>
      <c r="O28" s="2">
        <f>-O20*O27-$B$6*O25</f>
        <v>0.9510565162951535</v>
      </c>
      <c r="P28" s="2">
        <f>-P20*P27-$B$6*P25</f>
        <v>0.8386705679454238</v>
      </c>
      <c r="Q28" s="2">
        <f>-Q20*Q27-$B$6*Q25</f>
        <v>0.6691306063588583</v>
      </c>
      <c r="R28" s="2">
        <f>-R20*R27-$B$6*R25</f>
        <v>0.45399049973954725</v>
      </c>
      <c r="S28" s="2">
        <f>-S20*S27-$B$6*S25</f>
        <v>0.2079116908177592</v>
      </c>
      <c r="T28" s="2">
        <f>-T20*T27-$B$6*T25</f>
        <v>-0.052335956242943654</v>
      </c>
      <c r="U28" s="2">
        <f>-U20*U27-$B$6*U25</f>
        <v>-0.309016994374947</v>
      </c>
      <c r="V28" s="2">
        <f>-V20*V27-$B$6*V25</f>
        <v>-0.5446390350150272</v>
      </c>
      <c r="W28" s="2">
        <f>-W20*W27-$B$6*W25</f>
        <v>-0.743144825477394</v>
      </c>
      <c r="X28" s="2">
        <f>-X20*X27-$B$6*X25</f>
        <v>-0.8910065241883676</v>
      </c>
      <c r="Y28" s="2">
        <f>-Y20*Y27-$B$6*Y25</f>
        <v>-0.9781476007338056</v>
      </c>
      <c r="Z28" s="2">
        <f>-Z20*Z27-$B$6*Z25</f>
        <v>-0.9986295347545738</v>
      </c>
    </row>
    <row r="29" spans="1:26" s="24" customFormat="1" ht="12.75">
      <c r="A29" s="30" t="s">
        <v>21</v>
      </c>
      <c r="B29" s="31">
        <f>B20*B26+$B$6*B24</f>
        <v>-0.052335956242943835</v>
      </c>
      <c r="C29" s="31">
        <f>C20*C26+$B$6*C24</f>
        <v>-0.3090169943749474</v>
      </c>
      <c r="D29" s="31">
        <f>D20*D26+$B$6*D24</f>
        <v>-0.544639035015027</v>
      </c>
      <c r="E29" s="31">
        <f>E20*E26+$B$6*E24</f>
        <v>-0.7431448254773941</v>
      </c>
      <c r="F29" s="31">
        <f>F20*F26+$B$6*F24</f>
        <v>-0.8910065241883678</v>
      </c>
      <c r="G29" s="31">
        <f>G20*G26+$B$6*G24</f>
        <v>-0.9781476007338056</v>
      </c>
      <c r="H29" s="31">
        <f>H20*H26+$B$6*H24</f>
        <v>-0.9986295347545738</v>
      </c>
      <c r="I29" s="31">
        <f>I20*I26+$B$6*I24</f>
        <v>-0.9510565162951535</v>
      </c>
      <c r="J29" s="31">
        <f>J20*J26+$B$6*J24</f>
        <v>-0.838670567945424</v>
      </c>
      <c r="K29" s="31">
        <f>K20*K26+$B$6*K24</f>
        <v>-0.6691306063588582</v>
      </c>
      <c r="L29" s="2">
        <f>L20*L26+$B$6*L24</f>
        <v>-0.4539904997395467</v>
      </c>
      <c r="M29" s="2">
        <f>M20*M26+$B$6*M24</f>
        <v>-0.20791169081775962</v>
      </c>
      <c r="N29" s="2">
        <f>N20*N26+$B$6*N24</f>
        <v>0.05233595624294371</v>
      </c>
      <c r="O29" s="2">
        <f>O20*O26+$B$6*O24</f>
        <v>0.30901699437494745</v>
      </c>
      <c r="P29" s="2">
        <f>P20*P26+$B$6*P24</f>
        <v>0.5446390350150272</v>
      </c>
      <c r="Q29" s="2">
        <f>Q20*Q26+$B$6*Q24</f>
        <v>0.7431448254773941</v>
      </c>
      <c r="R29" s="2">
        <f>R20*R26+$B$6*R24</f>
        <v>0.8910065241883676</v>
      </c>
      <c r="S29" s="2">
        <f>S20*S26+$B$6*S24</f>
        <v>0.9781476007338056</v>
      </c>
      <c r="T29" s="2">
        <f>T20*T26+$B$6*T24</f>
        <v>0.9986295347545738</v>
      </c>
      <c r="U29" s="2">
        <f>U20*U26+$B$6*U24</f>
        <v>0.9510565162951536</v>
      </c>
      <c r="V29" s="2">
        <f>V20*V26+$B$6*V24</f>
        <v>0.8386705679454238</v>
      </c>
      <c r="W29" s="2">
        <f>W20*W26+$B$6*W24</f>
        <v>0.6691306063588583</v>
      </c>
      <c r="X29" s="2">
        <f>X20*X26+$B$6*X24</f>
        <v>0.45399049973954725</v>
      </c>
      <c r="Y29" s="2">
        <f>Y20*Y26+$B$6*Y24</f>
        <v>0.20791169081775926</v>
      </c>
      <c r="Z29" s="2">
        <f>Z20*Z26+$B$6*Z24</f>
        <v>-0.05233595624294359</v>
      </c>
    </row>
    <row r="30" spans="1:26" s="63" customFormat="1" ht="12.75">
      <c r="A30" s="48"/>
      <c r="B30" s="57" t="s">
        <v>60</v>
      </c>
      <c r="C30" s="57"/>
      <c r="D30" s="57"/>
      <c r="E30" s="57"/>
      <c r="F30" s="57"/>
      <c r="G30" s="57"/>
      <c r="H30" s="57"/>
      <c r="I30" s="57"/>
      <c r="J30" s="57"/>
      <c r="K30" s="5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s="24" customFormat="1" ht="12.75">
      <c r="A31" s="30" t="s">
        <v>23</v>
      </c>
      <c r="B31" s="31">
        <f>$D$3-$B$7*COS(B14)</f>
        <v>9.001370465245426</v>
      </c>
      <c r="C31" s="31">
        <f>$D$3-$B$7*COS(RADIANS(C13))</f>
        <v>9.048943483704846</v>
      </c>
      <c r="D31" s="31">
        <f aca="true" t="shared" si="8" ref="D31:Z31">$D$3-$B$7*COS(RADIANS(D13))</f>
        <v>9.161329432054576</v>
      </c>
      <c r="E31" s="31">
        <f t="shared" si="8"/>
        <v>9.33086939364114</v>
      </c>
      <c r="F31" s="31">
        <f t="shared" si="8"/>
        <v>9.546009500260453</v>
      </c>
      <c r="G31" s="31">
        <f t="shared" si="8"/>
        <v>9.79208830918224</v>
      </c>
      <c r="H31" s="31">
        <f t="shared" si="8"/>
        <v>10.052335956242944</v>
      </c>
      <c r="I31" s="31">
        <f t="shared" si="8"/>
        <v>10.309016994374947</v>
      </c>
      <c r="J31" s="31">
        <f>$D$3-$B$7*COS(RADIANS(J13))</f>
        <v>10.544639035015027</v>
      </c>
      <c r="K31" s="31">
        <f t="shared" si="8"/>
        <v>10.743144825477394</v>
      </c>
      <c r="L31" s="2">
        <f>$D$3-$B$7*COS(RADIANS(L13))</f>
        <v>10.891006524188368</v>
      </c>
      <c r="M31" s="2">
        <f t="shared" si="8"/>
        <v>10.978147600733806</v>
      </c>
      <c r="N31" s="2">
        <f t="shared" si="8"/>
        <v>10.998629534754574</v>
      </c>
      <c r="O31" s="2">
        <f t="shared" si="8"/>
        <v>10.951056516295154</v>
      </c>
      <c r="P31" s="2">
        <f t="shared" si="8"/>
        <v>10.838670567945424</v>
      </c>
      <c r="Q31" s="2">
        <f t="shared" si="8"/>
        <v>10.669130606358857</v>
      </c>
      <c r="R31" s="2">
        <f t="shared" si="8"/>
        <v>10.453990499739547</v>
      </c>
      <c r="S31" s="2">
        <f t="shared" si="8"/>
        <v>10.20791169081776</v>
      </c>
      <c r="T31" s="2">
        <f t="shared" si="8"/>
        <v>9.947664043757056</v>
      </c>
      <c r="U31" s="2">
        <f t="shared" si="8"/>
        <v>9.690983005625053</v>
      </c>
      <c r="V31" s="2">
        <f t="shared" si="8"/>
        <v>9.455360964984973</v>
      </c>
      <c r="W31" s="2">
        <f t="shared" si="8"/>
        <v>9.256855174522606</v>
      </c>
      <c r="X31" s="2">
        <f t="shared" si="8"/>
        <v>9.108993475811632</v>
      </c>
      <c r="Y31" s="2">
        <f t="shared" si="8"/>
        <v>9.021852399266194</v>
      </c>
      <c r="Z31" s="2">
        <f t="shared" si="8"/>
        <v>9.001370465245426</v>
      </c>
    </row>
    <row r="32" spans="1:26" s="24" customFormat="1" ht="12.75">
      <c r="A32" t="s">
        <v>24</v>
      </c>
      <c r="B32" s="31">
        <f>$D$4-$B$7*SIN(B14)</f>
        <v>1.9476640437570563</v>
      </c>
      <c r="C32" s="31">
        <f aca="true" t="shared" si="9" ref="C32:Z32">$D$4-$B$7*SIN(C14)</f>
        <v>1.6909830056250525</v>
      </c>
      <c r="D32" s="31">
        <f t="shared" si="9"/>
        <v>1.455360964984973</v>
      </c>
      <c r="E32" s="31">
        <f t="shared" si="9"/>
        <v>1.2568551745226058</v>
      </c>
      <c r="F32" s="31">
        <f t="shared" si="9"/>
        <v>1.1089934758116322</v>
      </c>
      <c r="G32" s="31">
        <f t="shared" si="9"/>
        <v>1.0218523992661943</v>
      </c>
      <c r="H32" s="31">
        <f t="shared" si="9"/>
        <v>1.0013704652454263</v>
      </c>
      <c r="I32" s="31">
        <f t="shared" si="9"/>
        <v>1.0489434837048464</v>
      </c>
      <c r="J32" s="31">
        <f t="shared" si="9"/>
        <v>1.161329432054576</v>
      </c>
      <c r="K32" s="31">
        <f t="shared" si="9"/>
        <v>1.3308693936411418</v>
      </c>
      <c r="L32" s="31">
        <f>$D$4-$B$7*SIN(L14)</f>
        <v>1.5460095002604533</v>
      </c>
      <c r="M32" s="31">
        <f t="shared" si="9"/>
        <v>1.7920883091822406</v>
      </c>
      <c r="N32" s="2">
        <f t="shared" si="9"/>
        <v>2.0523359562429437</v>
      </c>
      <c r="O32" s="2">
        <f t="shared" si="9"/>
        <v>2.3090169943749475</v>
      </c>
      <c r="P32" s="2">
        <f t="shared" si="9"/>
        <v>2.544639035015027</v>
      </c>
      <c r="Q32" s="2">
        <f t="shared" si="9"/>
        <v>2.7431448254773945</v>
      </c>
      <c r="R32" s="2">
        <f t="shared" si="9"/>
        <v>2.891006524188368</v>
      </c>
      <c r="S32" s="2">
        <f t="shared" si="9"/>
        <v>2.9781476007338057</v>
      </c>
      <c r="T32" s="2">
        <f t="shared" si="9"/>
        <v>2.9986295347545737</v>
      </c>
      <c r="U32" s="2">
        <f t="shared" si="9"/>
        <v>2.9510565162951536</v>
      </c>
      <c r="V32" s="2">
        <f t="shared" si="9"/>
        <v>2.8386705679454245</v>
      </c>
      <c r="W32" s="2">
        <f t="shared" si="9"/>
        <v>2.6691306063588582</v>
      </c>
      <c r="X32" s="2">
        <f t="shared" si="9"/>
        <v>2.4539904997395467</v>
      </c>
      <c r="Y32" s="2">
        <f t="shared" si="9"/>
        <v>2.20791169081776</v>
      </c>
      <c r="Z32" s="2">
        <f t="shared" si="9"/>
        <v>1.947664043757056</v>
      </c>
    </row>
    <row r="33" spans="1:26" s="24" customFormat="1" ht="12.75">
      <c r="A33" t="s">
        <v>27</v>
      </c>
      <c r="B33" s="31">
        <f>(($B$8^2)-($B$9^2)+(B31^2)+(B32^2))/(2*$B$8)</f>
        <v>6.058433248566911</v>
      </c>
      <c r="C33" s="31">
        <f aca="true" t="shared" si="10" ref="C33:Z33">(($B$8^2)-($B$9^2)+(C31^2)+(C32^2))/(2*$B$8)</f>
        <v>6.0530572640426525</v>
      </c>
      <c r="D33" s="31">
        <f t="shared" si="10"/>
        <v>6.146288035787957</v>
      </c>
      <c r="E33" s="31">
        <f t="shared" si="10"/>
        <v>6.3317720407795175</v>
      </c>
      <c r="F33" s="31">
        <f t="shared" si="10"/>
        <v>6.596868850603971</v>
      </c>
      <c r="G33" s="31">
        <f t="shared" si="10"/>
        <v>6.923512555764971</v>
      </c>
      <c r="H33" s="31">
        <f t="shared" si="10"/>
        <v>7.289442927560041</v>
      </c>
      <c r="I33" s="31">
        <f t="shared" si="10"/>
        <v>7.66972241587988</v>
      </c>
      <c r="J33" s="31">
        <f t="shared" si="10"/>
        <v>8.038435602037062</v>
      </c>
      <c r="K33" s="31">
        <f t="shared" si="10"/>
        <v>8.370455291722317</v>
      </c>
      <c r="L33" s="31">
        <f>(($B$8^2)-($B$9^2)+(L31^2)+(L32^2))/(2*$B$8)</f>
        <v>8.643154891772085</v>
      </c>
      <c r="M33" s="31">
        <f t="shared" si="10"/>
        <v>8.837950375100363</v>
      </c>
      <c r="N33" s="2">
        <f t="shared" si="10"/>
        <v>8.94156675143309</v>
      </c>
      <c r="O33" s="2">
        <f t="shared" si="10"/>
        <v>8.946942735957348</v>
      </c>
      <c r="P33" s="2">
        <f t="shared" si="10"/>
        <v>8.853711964212042</v>
      </c>
      <c r="Q33" s="2">
        <f t="shared" si="10"/>
        <v>8.668227959220479</v>
      </c>
      <c r="R33" s="2">
        <f t="shared" si="10"/>
        <v>8.40313114939603</v>
      </c>
      <c r="S33" s="2">
        <f t="shared" si="10"/>
        <v>8.07648744423503</v>
      </c>
      <c r="T33" s="2">
        <f t="shared" si="10"/>
        <v>7.7105570724399595</v>
      </c>
      <c r="U33" s="2">
        <f t="shared" si="10"/>
        <v>7.33027758412012</v>
      </c>
      <c r="V33" s="2">
        <f t="shared" si="10"/>
        <v>6.961564397962939</v>
      </c>
      <c r="W33" s="2">
        <f t="shared" si="10"/>
        <v>6.629544708277683</v>
      </c>
      <c r="X33" s="2">
        <f t="shared" si="10"/>
        <v>6.356845108227916</v>
      </c>
      <c r="Y33" s="2">
        <f t="shared" si="10"/>
        <v>6.162049624899638</v>
      </c>
      <c r="Z33" s="2">
        <f t="shared" si="10"/>
        <v>6.058433248566911</v>
      </c>
    </row>
    <row r="34" spans="1:26" s="24" customFormat="1" ht="12.75">
      <c r="A34" t="s">
        <v>26</v>
      </c>
      <c r="B34" s="31">
        <f>(B31^2)+(B32^2)-B33^2</f>
        <v>48.11345205259573</v>
      </c>
      <c r="C34" s="31">
        <f aca="true" t="shared" si="11" ref="C34:Z34">(C31^2)+(C32^2)-C33^2</f>
        <v>48.103299454817616</v>
      </c>
      <c r="D34" s="31">
        <f t="shared" si="11"/>
        <v>48.271175882161224</v>
      </c>
      <c r="E34" s="31">
        <f t="shared" si="11"/>
        <v>48.55347139451602</v>
      </c>
      <c r="F34" s="31">
        <f t="shared" si="11"/>
        <v>48.837485276386644</v>
      </c>
      <c r="G34" s="31">
        <f t="shared" si="11"/>
        <v>48.99414967087439</v>
      </c>
      <c r="H34" s="31">
        <f t="shared" si="11"/>
        <v>48.91622279168548</v>
      </c>
      <c r="I34" s="31">
        <f t="shared" si="11"/>
        <v>48.551471885668015</v>
      </c>
      <c r="J34" s="31">
        <f t="shared" si="11"/>
        <v>47.92165150042193</v>
      </c>
      <c r="K34" s="31">
        <f t="shared" si="11"/>
        <v>47.121852293390305</v>
      </c>
      <c r="L34" s="31">
        <f>(L31^2)+(L32^2)-L33^2</f>
        <v>46.300042001645465</v>
      </c>
      <c r="M34" s="31">
        <f>(M31^2)+(M32^2)-M33^2</f>
        <v>45.621938418668435</v>
      </c>
      <c r="N34" s="2">
        <f t="shared" si="11"/>
        <v>45.23031854972956</v>
      </c>
      <c r="O34" s="2">
        <f t="shared" si="11"/>
        <v>45.209413982902916</v>
      </c>
      <c r="P34" s="2">
        <f t="shared" si="11"/>
        <v>45.563751953737125</v>
      </c>
      <c r="Q34" s="2">
        <f t="shared" si="11"/>
        <v>46.21701547607509</v>
      </c>
      <c r="R34" s="2">
        <f t="shared" si="11"/>
        <v>47.03122297759457</v>
      </c>
      <c r="S34" s="2">
        <f t="shared" si="11"/>
        <v>47.84117478240434</v>
      </c>
      <c r="T34" s="2">
        <f t="shared" si="11"/>
        <v>48.49510864680555</v>
      </c>
      <c r="U34" s="2">
        <f t="shared" si="11"/>
        <v>48.89091671742778</v>
      </c>
      <c r="V34" s="2">
        <f t="shared" si="11"/>
        <v>48.998522704496054</v>
      </c>
      <c r="W34" s="2">
        <f t="shared" si="11"/>
        <v>48.86276287683493</v>
      </c>
      <c r="X34" s="2">
        <f t="shared" si="11"/>
        <v>48.58635178518964</v>
      </c>
      <c r="Y34" s="2">
        <f t="shared" si="11"/>
        <v>48.29783916886917</v>
      </c>
      <c r="Z34" s="2">
        <f t="shared" si="11"/>
        <v>48.11345205259573</v>
      </c>
    </row>
    <row r="35" spans="1:26" s="24" customFormat="1" ht="12.75">
      <c r="A35" t="s">
        <v>25</v>
      </c>
      <c r="B35" s="31">
        <f>(B32+SQRT(B34))/(B33+B31)</f>
        <v>0.5899180565118389</v>
      </c>
      <c r="C35" s="31">
        <f aca="true" t="shared" si="12" ref="C35:Z35">(C32+SQRT(C34))/(C33+C31)</f>
        <v>0.5712247912966837</v>
      </c>
      <c r="D35" s="31">
        <f t="shared" si="12"/>
        <v>0.548949376577269</v>
      </c>
      <c r="E35" s="31">
        <f t="shared" si="12"/>
        <v>0.525127725894526</v>
      </c>
      <c r="F35" s="31">
        <f t="shared" si="12"/>
        <v>0.501606681551117</v>
      </c>
      <c r="G35" s="31">
        <f t="shared" si="12"/>
        <v>0.4798771262217376</v>
      </c>
      <c r="H35" s="31">
        <f t="shared" si="12"/>
        <v>0.4610475010963009</v>
      </c>
      <c r="I35" s="31">
        <f t="shared" si="12"/>
        <v>0.4459062410010951</v>
      </c>
      <c r="J35" s="31">
        <f t="shared" si="12"/>
        <v>0.4350128380307259</v>
      </c>
      <c r="K35" s="31">
        <f t="shared" si="12"/>
        <v>0.4287735007014014</v>
      </c>
      <c r="L35" s="31">
        <f t="shared" si="12"/>
        <v>0.42747793177715593</v>
      </c>
      <c r="M35" s="31">
        <f>(M32+SQRT(M34))/(M33+M31)</f>
        <v>0.43129024343935646</v>
      </c>
      <c r="N35" s="2">
        <f t="shared" si="12"/>
        <v>0.44020052681602123</v>
      </c>
      <c r="O35" s="2">
        <f t="shared" si="12"/>
        <v>0.4539557717213222</v>
      </c>
      <c r="P35" s="2">
        <f t="shared" si="12"/>
        <v>0.4719963039776237</v>
      </c>
      <c r="Q35" s="2">
        <f t="shared" si="12"/>
        <v>0.4934207815677698</v>
      </c>
      <c r="R35" s="2">
        <f t="shared" si="12"/>
        <v>0.5169897133612105</v>
      </c>
      <c r="S35" s="2">
        <f t="shared" si="12"/>
        <v>0.5411651232134349</v>
      </c>
      <c r="T35" s="2">
        <f t="shared" si="12"/>
        <v>0.5641832447471458</v>
      </c>
      <c r="U35" s="2">
        <f t="shared" si="12"/>
        <v>0.5841671044024632</v>
      </c>
      <c r="V35" s="2">
        <f t="shared" si="12"/>
        <v>0.5992940108168943</v>
      </c>
      <c r="W35" s="2">
        <f t="shared" si="12"/>
        <v>0.6080245463177961</v>
      </c>
      <c r="X35" s="2">
        <f t="shared" si="12"/>
        <v>0.609367641261871</v>
      </c>
      <c r="Y35" s="2">
        <f t="shared" si="12"/>
        <v>0.6031108707473072</v>
      </c>
      <c r="Z35" s="2">
        <f t="shared" si="12"/>
        <v>0.5899180565118389</v>
      </c>
    </row>
    <row r="36" spans="1:26" s="24" customFormat="1" ht="12.75">
      <c r="A36" t="s">
        <v>28</v>
      </c>
      <c r="B36" s="31">
        <f>2*(ATAN(B35))</f>
        <v>1.0659466471380237</v>
      </c>
      <c r="C36" s="31">
        <f>2*(ATAN(C35))</f>
        <v>1.0379849637857803</v>
      </c>
      <c r="D36" s="31">
        <f aca="true" t="shared" si="13" ref="D36:Z36">2*(ATAN(D35))</f>
        <v>1.0040724648477286</v>
      </c>
      <c r="E36" s="31">
        <f t="shared" si="13"/>
        <v>0.9670942487869268</v>
      </c>
      <c r="F36" s="31">
        <f t="shared" si="13"/>
        <v>0.9298642560191341</v>
      </c>
      <c r="G36" s="31">
        <f t="shared" si="13"/>
        <v>0.8948402109318467</v>
      </c>
      <c r="H36" s="31">
        <f t="shared" si="13"/>
        <v>0.8640059139441361</v>
      </c>
      <c r="I36" s="31">
        <f t="shared" si="13"/>
        <v>0.8388886851286523</v>
      </c>
      <c r="J36" s="31">
        <f t="shared" si="13"/>
        <v>0.8206419022738224</v>
      </c>
      <c r="K36" s="31">
        <f t="shared" si="13"/>
        <v>0.8101249798077245</v>
      </c>
      <c r="L36" s="31">
        <f t="shared" si="13"/>
        <v>0.8079352087752248</v>
      </c>
      <c r="M36" s="31">
        <f t="shared" si="13"/>
        <v>0.8143729063783549</v>
      </c>
      <c r="N36" s="2">
        <f t="shared" si="13"/>
        <v>0.8293497277086795</v>
      </c>
      <c r="O36" s="2">
        <f t="shared" si="13"/>
        <v>0.8522773496830247</v>
      </c>
      <c r="P36" s="2">
        <f t="shared" si="13"/>
        <v>0.8819894774426825</v>
      </c>
      <c r="Q36" s="2">
        <f t="shared" si="13"/>
        <v>0.9167407902758182</v>
      </c>
      <c r="R36" s="2">
        <f t="shared" si="13"/>
        <v>0.9542936300408911</v>
      </c>
      <c r="S36" s="2">
        <f t="shared" si="13"/>
        <v>0.9920698029003581</v>
      </c>
      <c r="T36" s="2">
        <f t="shared" si="13"/>
        <v>1.0273344144565437</v>
      </c>
      <c r="U36" s="2">
        <f t="shared" si="13"/>
        <v>1.0573926218810747</v>
      </c>
      <c r="V36" s="2">
        <f t="shared" si="13"/>
        <v>1.0798004577769946</v>
      </c>
      <c r="W36" s="2">
        <f t="shared" si="13"/>
        <v>1.0925980381424367</v>
      </c>
      <c r="X36" s="2">
        <f t="shared" si="13"/>
        <v>1.0945580297370467</v>
      </c>
      <c r="Y36" s="2">
        <f t="shared" si="13"/>
        <v>1.0854075324572112</v>
      </c>
      <c r="Z36" s="2">
        <f t="shared" si="13"/>
        <v>1.0659466471380237</v>
      </c>
    </row>
    <row r="37" spans="1:256" s="24" customFormat="1" ht="12.75">
      <c r="A37" t="s">
        <v>205</v>
      </c>
      <c r="B37" s="31">
        <f>B36-1</f>
        <v>0.06594664713802367</v>
      </c>
      <c r="C37" s="31">
        <f>C36-1</f>
        <v>0.03798496378578031</v>
      </c>
      <c r="D37" s="31">
        <f>D36-1</f>
        <v>0.004072464847728607</v>
      </c>
      <c r="E37" s="31">
        <f>E36-1</f>
        <v>-0.03290575121307315</v>
      </c>
      <c r="F37" s="31">
        <f>F36-1</f>
        <v>-0.07013574398086586</v>
      </c>
      <c r="G37" s="31">
        <f>G36-1</f>
        <v>-0.10515978906815326</v>
      </c>
      <c r="H37" s="31">
        <f>H36-1</f>
        <v>-0.13599408605586394</v>
      </c>
      <c r="I37" s="31">
        <f>I36-1</f>
        <v>-0.16111131487134767</v>
      </c>
      <c r="J37" s="31">
        <f>J36-1</f>
        <v>-0.1793580977261776</v>
      </c>
      <c r="K37" s="31">
        <f>K36-1</f>
        <v>-0.18987502019227553</v>
      </c>
      <c r="L37" s="31">
        <f>L36-1</f>
        <v>-0.19206479122477516</v>
      </c>
      <c r="M37" s="31">
        <f>M36-1</f>
        <v>-0.1856270936216451</v>
      </c>
      <c r="N37" s="31">
        <f>N36-1</f>
        <v>-0.17065027229132046</v>
      </c>
      <c r="O37" s="31">
        <f>O36-1</f>
        <v>-0.1477226503169753</v>
      </c>
      <c r="P37" s="31">
        <f>P36-1</f>
        <v>-0.11801052255731748</v>
      </c>
      <c r="Q37" s="31">
        <f>Q36-1</f>
        <v>-0.08325920972418177</v>
      </c>
      <c r="R37" s="31">
        <f>R36-1</f>
        <v>-0.04570636995910893</v>
      </c>
      <c r="S37" s="31">
        <f>S36-1</f>
        <v>-0.007930197099641934</v>
      </c>
      <c r="T37" s="31">
        <f>T36-1</f>
        <v>0.02733441445654372</v>
      </c>
      <c r="U37" s="31">
        <f>U36-1</f>
        <v>0.057392621881074746</v>
      </c>
      <c r="V37" s="31">
        <f>V36-1</f>
        <v>0.07980045777699463</v>
      </c>
      <c r="W37" s="31">
        <f>W36-1</f>
        <v>0.09259803814243672</v>
      </c>
      <c r="X37" s="31">
        <f>X36-1</f>
        <v>0.09455802973704674</v>
      </c>
      <c r="Y37" s="31">
        <f>Y36-1</f>
        <v>0.08540753245721122</v>
      </c>
      <c r="Z37" s="31">
        <f>Z36-1</f>
        <v>0.06594664713802367</v>
      </c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</row>
    <row r="38" spans="1:26" s="24" customFormat="1" ht="12.75">
      <c r="A38" t="s">
        <v>29</v>
      </c>
      <c r="B38" s="31">
        <f>ACOS(($B$8*COS(B36)-B31)/$B$9)</f>
        <v>2.5018244902642754</v>
      </c>
      <c r="C38" s="31">
        <f aca="true" t="shared" si="14" ref="C38:Z38">ACOS(($B$8*COS(C36)-C31)/$B$9)</f>
        <v>2.473087724929375</v>
      </c>
      <c r="D38" s="31">
        <f t="shared" si="14"/>
        <v>2.4526055626843206</v>
      </c>
      <c r="E38" s="31">
        <f t="shared" si="14"/>
        <v>2.442283853915776</v>
      </c>
      <c r="F38" s="31">
        <f t="shared" si="14"/>
        <v>2.4430385368262666</v>
      </c>
      <c r="G38" s="31">
        <f t="shared" si="14"/>
        <v>2.4547095425343888</v>
      </c>
      <c r="H38" s="31">
        <f t="shared" si="14"/>
        <v>2.4761630221280706</v>
      </c>
      <c r="I38" s="31">
        <f t="shared" si="14"/>
        <v>2.5055062090710267</v>
      </c>
      <c r="J38" s="31">
        <f t="shared" si="14"/>
        <v>2.5403357506966455</v>
      </c>
      <c r="K38" s="31">
        <f t="shared" si="14"/>
        <v>2.577973400385459</v>
      </c>
      <c r="L38" s="31">
        <f t="shared" si="14"/>
        <v>2.6156789313311544</v>
      </c>
      <c r="M38" s="31">
        <f t="shared" si="14"/>
        <v>2.6508480608970855</v>
      </c>
      <c r="N38" s="2">
        <f t="shared" si="14"/>
        <v>2.68119821375115</v>
      </c>
      <c r="O38" s="2">
        <f t="shared" si="14"/>
        <v>2.704925289491705</v>
      </c>
      <c r="P38" s="2">
        <f t="shared" si="14"/>
        <v>2.720798904061155</v>
      </c>
      <c r="Q38" s="2">
        <f t="shared" si="14"/>
        <v>2.7281709863026076</v>
      </c>
      <c r="R38" s="2">
        <f t="shared" si="14"/>
        <v>2.726904429768681</v>
      </c>
      <c r="S38" s="2">
        <f t="shared" si="14"/>
        <v>2.7172627454219294</v>
      </c>
      <c r="T38" s="2">
        <f t="shared" si="14"/>
        <v>2.6998140294679134</v>
      </c>
      <c r="U38" s="2">
        <f t="shared" si="14"/>
        <v>2.67538898445553</v>
      </c>
      <c r="V38" s="2">
        <f t="shared" si="14"/>
        <v>2.6451059566902546</v>
      </c>
      <c r="W38" s="2">
        <f t="shared" si="14"/>
        <v>2.6104474455165882</v>
      </c>
      <c r="X38" s="2">
        <f t="shared" si="14"/>
        <v>2.57334532164542</v>
      </c>
      <c r="Y38" s="2">
        <f t="shared" si="14"/>
        <v>2.536208906392417</v>
      </c>
      <c r="Z38" s="2">
        <f t="shared" si="14"/>
        <v>2.5018244902642754</v>
      </c>
    </row>
    <row r="39" spans="1:256" s="24" customFormat="1" ht="12.75">
      <c r="A39" t="s">
        <v>204</v>
      </c>
      <c r="B39" s="31">
        <f>B38-2</f>
        <v>0.5018244902642754</v>
      </c>
      <c r="C39" s="31">
        <f>C38-2</f>
        <v>0.4730877249293748</v>
      </c>
      <c r="D39" s="31">
        <f>D38-2</f>
        <v>0.4526055626843206</v>
      </c>
      <c r="E39" s="31">
        <f>E38-2</f>
        <v>0.44228385391577607</v>
      </c>
      <c r="F39" s="31">
        <f>F38-2</f>
        <v>0.4430385368262666</v>
      </c>
      <c r="G39" s="31">
        <f>G38-2</f>
        <v>0.4547095425343888</v>
      </c>
      <c r="H39" s="31">
        <f>H38-2</f>
        <v>0.4761630221280706</v>
      </c>
      <c r="I39" s="31">
        <f>I38-2</f>
        <v>0.5055062090710267</v>
      </c>
      <c r="J39" s="31">
        <f>J38-2</f>
        <v>0.5403357506966455</v>
      </c>
      <c r="K39" s="31">
        <f>K38-2</f>
        <v>0.5779734003854591</v>
      </c>
      <c r="L39" s="31">
        <f>L38-2</f>
        <v>0.6156789313311544</v>
      </c>
      <c r="M39" s="31">
        <f>M38-2</f>
        <v>0.6508480608970855</v>
      </c>
      <c r="N39" s="31">
        <f>N38-2</f>
        <v>0.6811982137511499</v>
      </c>
      <c r="O39" s="31">
        <f>O38-2</f>
        <v>0.7049252894917051</v>
      </c>
      <c r="P39" s="31">
        <f>P38-2</f>
        <v>0.7207989040611551</v>
      </c>
      <c r="Q39" s="31">
        <f>Q38-2</f>
        <v>0.7281709863026076</v>
      </c>
      <c r="R39" s="31">
        <f>R38-2</f>
        <v>0.7269044297686809</v>
      </c>
      <c r="S39" s="31">
        <f>S38-2</f>
        <v>0.7172627454219294</v>
      </c>
      <c r="T39" s="31">
        <f>T38-2</f>
        <v>0.6998140294679134</v>
      </c>
      <c r="U39" s="31">
        <f>U38-2</f>
        <v>0.6753889844555299</v>
      </c>
      <c r="V39" s="31">
        <f>V38-2</f>
        <v>0.6451059566902546</v>
      </c>
      <c r="W39" s="31">
        <f>W38-2</f>
        <v>0.6104474455165882</v>
      </c>
      <c r="X39" s="31">
        <f>X38-2</f>
        <v>0.5733453216454198</v>
      </c>
      <c r="Y39" s="31">
        <f>Y38-2</f>
        <v>0.5362089063924169</v>
      </c>
      <c r="Z39" s="31">
        <f>Z38-2</f>
        <v>0.5018244902642754</v>
      </c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</row>
    <row r="40" spans="1:26" s="24" customFormat="1" ht="12.75">
      <c r="A40" t="s">
        <v>33</v>
      </c>
      <c r="B40" s="31">
        <f>-B20*($B$7*SIN(B14-B38))/($B$8*SIN(B36-B38))</f>
        <v>-0.09200424746258845</v>
      </c>
      <c r="C40" s="31">
        <f>-C20*($B$7*SIN(C14-C38))/($B$8*SIN(C36-C38))</f>
        <v>-0.11995673531567141</v>
      </c>
      <c r="D40" s="31">
        <f>-D20*($B$7*SIN(D14-D38))/($B$8*SIN(D36-D38))</f>
        <v>-0.1372518755744509</v>
      </c>
      <c r="E40" s="31">
        <f>-E20*($B$7*SIN(E14-E38))/($B$8*SIN(E36-E38))</f>
        <v>-0.14343091420551</v>
      </c>
      <c r="F40" s="31">
        <f>-F20*($B$7*SIN(F14-F38))/($B$8*SIN(F36-F38))</f>
        <v>-0.13941351975518962</v>
      </c>
      <c r="G40" s="31">
        <f>-G20*($B$7*SIN(G14-G38))/($B$8*SIN(G36-G38))</f>
        <v>-0.126889363037258</v>
      </c>
      <c r="H40" s="31">
        <f>-H20*($B$7*SIN(H14-H38))/($B$8*SIN(H36-H38))</f>
        <v>-0.10770088888409204</v>
      </c>
      <c r="I40" s="31">
        <f>-I20*($B$7*SIN(I14-I38))/($B$8*SIN(I36-I38))</f>
        <v>-0.08345185163044173</v>
      </c>
      <c r="J40" s="31">
        <f>-J20*($B$7*SIN(J14-J38))/($B$8*SIN(J36-J38))</f>
        <v>-0.05539837863896932</v>
      </c>
      <c r="K40" s="31">
        <f>-K20*($B$7*SIN(K14-K38))/($B$8*SIN(K36-K38))</f>
        <v>-0.02456243683483009</v>
      </c>
      <c r="L40" s="31">
        <f>-L20*($B$7*SIN(L14-L38))/($B$8*SIN(L36-L38))</f>
        <v>0.00803119749950218</v>
      </c>
      <c r="M40" s="31">
        <f>-M20*($B$7*SIN(M14-M38))/($B$8*SIN(M36-M38))</f>
        <v>0.04110055837103255</v>
      </c>
      <c r="N40" s="2">
        <f>-N20*($B$7*SIN(N14-N38))/($B$8*SIN(N36-N38))</f>
        <v>0.07294479600676967</v>
      </c>
      <c r="O40" s="2">
        <f>-O20*($B$7*SIN(O14-O38))/($B$8*SIN(O36-O38))</f>
        <v>0.10146701409243708</v>
      </c>
      <c r="P40" s="2">
        <f>-P20*($B$7*SIN(P14-P38))/($B$8*SIN(P36-P38))</f>
        <v>0.12440004884177219</v>
      </c>
      <c r="Q40" s="2">
        <f>-Q20*($B$7*SIN(Q14-Q38))/($B$8*SIN(Q36-Q38))</f>
        <v>0.13964587993464989</v>
      </c>
      <c r="R40" s="2">
        <f>-R20*($B$7*SIN(R14-R38))/($B$8*SIN(R36-R38))</f>
        <v>0.1455834681967768</v>
      </c>
      <c r="S40" s="2">
        <f>-S20*($B$7*SIN(S14-S38))/($B$8*SIN(S36-S38))</f>
        <v>0.14125165480782068</v>
      </c>
      <c r="T40" s="2">
        <f>-T20*($B$7*SIN(T14-T38))/($B$8*SIN(T36-T38))</f>
        <v>0.12642123442416472</v>
      </c>
      <c r="U40" s="2">
        <f>-U20*($B$7*SIN(U14-U38))/($B$8*SIN(U36-U38))</f>
        <v>0.10163579999588426</v>
      </c>
      <c r="V40" s="2">
        <f>-V20*($B$7*SIN(V14-V38))/($B$8*SIN(V36-V38))</f>
        <v>0.06828356268093286</v>
      </c>
      <c r="W40" s="2">
        <f>-W20*($B$7*SIN(W14-W38))/($B$8*SIN(W36-W38))</f>
        <v>0.028686531026621317</v>
      </c>
      <c r="X40" s="2">
        <f>-X20*($B$7*SIN(X14-X38))/($B$8*SIN(X36-X38))</f>
        <v>-0.013895397337964271</v>
      </c>
      <c r="Y40" s="2">
        <f>-Y20*($B$7*SIN(Y14-Y38))/($B$8*SIN(Y36-Y38))</f>
        <v>-0.055496137201398385</v>
      </c>
      <c r="Z40" s="2">
        <f>-Z20*($B$7*SIN(Z14-Z38))/($B$8*SIN(Z36-Z38))</f>
        <v>-0.09200424746258848</v>
      </c>
    </row>
    <row r="41" spans="1:26" s="24" customFormat="1" ht="12.75">
      <c r="A41" t="s">
        <v>34</v>
      </c>
      <c r="B41" s="31">
        <f>-B20*($B$7*SIN(B14-B36))/($B$9*SIN(B36-B38))</f>
        <v>-0.12235969042236702</v>
      </c>
      <c r="C41" s="31">
        <f>-C20*($B$7*SIN(C14-C36))/($B$9*SIN(C36-C38))</f>
        <v>-0.09548573222002232</v>
      </c>
      <c r="D41" s="31">
        <f>-D20*($B$7*SIN(D14-D36))/($B$9*SIN(D36-D38))</f>
        <v>-0.05975399435947695</v>
      </c>
      <c r="E41" s="31">
        <f>-E20*($B$7*SIN(E14-E36))/($B$9*SIN(E36-E38))</f>
        <v>-0.01850966258081141</v>
      </c>
      <c r="F41" s="31">
        <f>-F20*($B$7*SIN(F14-F36))/($B$9*SIN(F36-F38))</f>
        <v>0.024165813039104127</v>
      </c>
      <c r="G41" s="31">
        <f>-G20*($B$7*SIN(G14-G36))/($B$9*SIN(G36-G38))</f>
        <v>0.064257816133105</v>
      </c>
      <c r="H41" s="31">
        <f>-H20*($B$7*SIN(H14-H36))/($B$9*SIN(H36-H38))</f>
        <v>0.09841349473674851</v>
      </c>
      <c r="I41" s="31">
        <f>-I20*($B$7*SIN(I14-I36))/($B$9*SIN(I36-I38))</f>
        <v>0.12420685445685947</v>
      </c>
      <c r="J41" s="31">
        <f>-J20*($B$7*SIN(J14-J36))/($B$9*SIN(J36-J38))</f>
        <v>0.14015277347688446</v>
      </c>
      <c r="K41" s="31">
        <f>-K20*($B$7*SIN(K14-K36))/($B$9*SIN(K36-K38))</f>
        <v>0.14562065879099326</v>
      </c>
      <c r="L41" s="31">
        <f>-L20*($B$7*SIN(L14-L36))/($B$9*SIN(L36-L38))</f>
        <v>0.1407584575202702</v>
      </c>
      <c r="M41" s="31">
        <f>-M20*($B$7*SIN(M14-M36))/($B$9*SIN(M36-M38))</f>
        <v>0.1264504523394897</v>
      </c>
      <c r="N41" s="2">
        <f>-N20*($B$7*SIN(N14-N36))/($B$9*SIN(N36-N38))</f>
        <v>0.10425277331588759</v>
      </c>
      <c r="O41" s="2">
        <f>-O20*($B$7*SIN(O14-O36))/($B$9*SIN(O36-O38))</f>
        <v>0.07622495574941272</v>
      </c>
      <c r="P41" s="2">
        <f>-P20*($B$7*SIN(P14-P36))/($B$9*SIN(P36-P38))</f>
        <v>0.04463290740511377</v>
      </c>
      <c r="Q41" s="2">
        <f>-Q20*($B$7*SIN(Q14-Q36))/($B$9*SIN(Q36-Q38))</f>
        <v>0.011605922422833087</v>
      </c>
      <c r="R41" s="2">
        <f>-R20*($B$7*SIN(R14-R36))/($B$9*SIN(R36-R38))</f>
        <v>-0.021107451619509426</v>
      </c>
      <c r="S41" s="2">
        <f>-S20*($B$7*SIN(S14-S36))/($B$9*SIN(S36-S38))</f>
        <v>-0.052185140180148144</v>
      </c>
      <c r="T41" s="2">
        <f>-T20*($B$7*SIN(T14-T36))/($B$9*SIN(T36-T38))</f>
        <v>-0.08058612653548597</v>
      </c>
      <c r="U41" s="2">
        <f>-U20*($B$7*SIN(U14-U36))/($B$9*SIN(U36-U38))</f>
        <v>-0.10530077348623845</v>
      </c>
      <c r="V41" s="2">
        <f>-V20*($B$7*SIN(V14-V36))/($B$9*SIN(V36-V38))</f>
        <v>-0.12510677605171905</v>
      </c>
      <c r="W41" s="2">
        <f>-W20*($B$7*SIN(W14-W36))/($B$9*SIN(W36-W38))</f>
        <v>-0.13843737831432312</v>
      </c>
      <c r="X41" s="2">
        <f>-X20*($B$7*SIN(X14-X36))/($B$9*SIN(X36-X38))</f>
        <v>-0.14346218049891205</v>
      </c>
      <c r="Y41" s="2">
        <f>-Y20*($B$7*SIN(Y14-Y36))/($B$9*SIN(Y36-Y38))</f>
        <v>-0.13844797311768794</v>
      </c>
      <c r="Z41" s="2">
        <f>-Z20*($B$7*SIN(Z14-Z36))/($B$9*SIN(Z36-Z38))</f>
        <v>-0.12235969042236701</v>
      </c>
    </row>
    <row r="42" spans="1:26" s="24" customFormat="1" ht="12.75">
      <c r="A42" t="s">
        <v>36</v>
      </c>
      <c r="B42" s="31">
        <f>$B$6*$B$7*SIN(B14)+($B$5^2)*$B$7*COS(B14)+(B40^2)*$B$8*COS(B36)-(B41^2)*$B$9*COS(B38)</f>
        <v>1.1113657650142519</v>
      </c>
      <c r="C42" s="31">
        <f aca="true" t="shared" si="15" ref="C42:Z42">$B$6*$B$7*SIN(C14)+($B$5^2)*$B$7*COS(C14)+(C40^2)*$B$8*COS(C36)-(C41^2)*$B$9*COS(C38)</f>
        <v>1.05230646224251</v>
      </c>
      <c r="D42" s="31">
        <f t="shared" si="15"/>
        <v>0.9287583437988841</v>
      </c>
      <c r="E42" s="31">
        <f t="shared" si="15"/>
        <v>0.7527178710686209</v>
      </c>
      <c r="F42" s="31">
        <f t="shared" si="15"/>
        <v>0.5384727616091588</v>
      </c>
      <c r="G42" s="31">
        <f t="shared" si="15"/>
        <v>0.30077461952804396</v>
      </c>
      <c r="H42" s="31">
        <f t="shared" si="15"/>
        <v>0.05372490807593537</v>
      </c>
      <c r="I42" s="31">
        <f t="shared" si="15"/>
        <v>-0.18956703462315783</v>
      </c>
      <c r="J42" s="31">
        <f t="shared" si="15"/>
        <v>-0.41660741284621694</v>
      </c>
      <c r="K42" s="31">
        <f t="shared" si="15"/>
        <v>-0.6147549728162484</v>
      </c>
      <c r="L42" s="31">
        <f t="shared" si="15"/>
        <v>-0.770745806874162</v>
      </c>
      <c r="M42" s="31">
        <f t="shared" si="15"/>
        <v>-0.8713134368342914</v>
      </c>
      <c r="N42" s="2">
        <f t="shared" si="15"/>
        <v>-0.9053160566782611</v>
      </c>
      <c r="O42" s="2">
        <f t="shared" si="15"/>
        <v>-0.8667603712359064</v>
      </c>
      <c r="P42" s="2">
        <f t="shared" si="15"/>
        <v>-0.7570875418099101</v>
      </c>
      <c r="Q42" s="2">
        <f t="shared" si="15"/>
        <v>-0.5852150614803714</v>
      </c>
      <c r="R42" s="2">
        <f t="shared" si="15"/>
        <v>-0.36535554505646906</v>
      </c>
      <c r="S42" s="2">
        <f t="shared" si="15"/>
        <v>-0.11414878066536356</v>
      </c>
      <c r="T42" s="2">
        <f t="shared" si="15"/>
        <v>0.15128191985377654</v>
      </c>
      <c r="U42" s="2">
        <f t="shared" si="15"/>
        <v>0.413865615661393</v>
      </c>
      <c r="V42" s="2">
        <f t="shared" si="15"/>
        <v>0.6563618312543614</v>
      </c>
      <c r="W42" s="2">
        <f t="shared" si="15"/>
        <v>0.8614672389757314</v>
      </c>
      <c r="X42" s="2">
        <f t="shared" si="15"/>
        <v>1.0130547020921006</v>
      </c>
      <c r="Y42" s="2">
        <f t="shared" si="15"/>
        <v>1.0985357183714775</v>
      </c>
      <c r="Z42" s="2">
        <f t="shared" si="15"/>
        <v>1.1113657650142519</v>
      </c>
    </row>
    <row r="43" spans="1:26" s="24" customFormat="1" ht="12.75">
      <c r="A43" t="s">
        <v>37</v>
      </c>
      <c r="B43" s="31">
        <f>-$B$6*$B$7*COS(B14)+($B$5^2)*$B$7*SIN(B14)+(B40^2)*$B$8*SIN(B36)-(B41^2)*$B$9*SIN(B38)</f>
        <v>0.04162885329112874</v>
      </c>
      <c r="C43" s="31">
        <f aca="true" t="shared" si="16" ref="C43:Z43">-$B$6*$B$7*COS(C14)+($B$5^2)*$B$7*SIN(C14)+(C40^2)*$B$8*SIN(C36)-(C41^2)*$B$9*SIN(C38)</f>
        <v>0.35622359381936197</v>
      </c>
      <c r="D43" s="31">
        <f t="shared" si="16"/>
        <v>0.6400002004613481</v>
      </c>
      <c r="E43" s="31">
        <f t="shared" si="16"/>
        <v>0.8601533553552448</v>
      </c>
      <c r="F43" s="31">
        <f t="shared" si="16"/>
        <v>0.9974292273182509</v>
      </c>
      <c r="G43" s="31">
        <f t="shared" si="16"/>
        <v>1.047742307879282</v>
      </c>
      <c r="H43" s="31">
        <f t="shared" si="16"/>
        <v>1.0185179475761748</v>
      </c>
      <c r="I43" s="31">
        <f t="shared" si="16"/>
        <v>0.9231688107746691</v>
      </c>
      <c r="J43" s="31">
        <f t="shared" si="16"/>
        <v>0.7766063877539588</v>
      </c>
      <c r="K43" s="31">
        <f t="shared" si="16"/>
        <v>0.5928870961926676</v>
      </c>
      <c r="L43" s="31">
        <f t="shared" si="16"/>
        <v>0.3846937095905698</v>
      </c>
      <c r="M43" s="31">
        <f t="shared" si="16"/>
        <v>0.16376206384184228</v>
      </c>
      <c r="N43" s="2">
        <f t="shared" si="16"/>
        <v>-0.05866954567807839</v>
      </c>
      <c r="O43" s="2">
        <f t="shared" si="16"/>
        <v>-0.27196582915390777</v>
      </c>
      <c r="P43" s="2">
        <f t="shared" si="16"/>
        <v>-0.4667057794067728</v>
      </c>
      <c r="Q43" s="2">
        <f t="shared" si="16"/>
        <v>-0.6351886988332679</v>
      </c>
      <c r="R43" s="2">
        <f t="shared" si="16"/>
        <v>-0.7712138188954597</v>
      </c>
      <c r="S43" s="2">
        <f t="shared" si="16"/>
        <v>-0.8690747701474532</v>
      </c>
      <c r="T43" s="2">
        <f t="shared" si="16"/>
        <v>-0.9223078115285728</v>
      </c>
      <c r="U43" s="2">
        <f t="shared" si="16"/>
        <v>-0.9229589373881977</v>
      </c>
      <c r="V43" s="2">
        <f t="shared" si="16"/>
        <v>-0.8620765102316517</v>
      </c>
      <c r="W43" s="2">
        <f t="shared" si="16"/>
        <v>-0.731968370609691</v>
      </c>
      <c r="X43" s="2">
        <f t="shared" si="16"/>
        <v>-0.5303212868595496</v>
      </c>
      <c r="Y43" s="2">
        <f t="shared" si="16"/>
        <v>-0.2651990477967197</v>
      </c>
      <c r="Z43" s="2">
        <f t="shared" si="16"/>
        <v>0.04162885329112884</v>
      </c>
    </row>
    <row r="44" spans="1:26" s="24" customFormat="1" ht="12.75">
      <c r="A44" t="s">
        <v>38</v>
      </c>
      <c r="B44" s="31">
        <f>(B42*COS(B38)+B43*SIN(B38))/($B$8*SIN(B38-B36))</f>
        <v>-0.12495307797988567</v>
      </c>
      <c r="C44" s="31">
        <f aca="true" t="shared" si="17" ref="C44:Z44">(C42*COS(C38)+C43*SIN(C38))/($B$8*SIN(C38-C36))</f>
        <v>-0.0872310640175438</v>
      </c>
      <c r="D44" s="31">
        <f t="shared" si="17"/>
        <v>-0.04462107201457616</v>
      </c>
      <c r="E44" s="31">
        <f t="shared" si="17"/>
        <v>-0.003210988826733041</v>
      </c>
      <c r="F44" s="31">
        <f t="shared" si="17"/>
        <v>0.032784415895562954</v>
      </c>
      <c r="G44" s="31">
        <f t="shared" si="17"/>
        <v>0.06169485525970445</v>
      </c>
      <c r="H44" s="31">
        <f t="shared" si="17"/>
        <v>0.08386705506787052</v>
      </c>
      <c r="I44" s="31">
        <f t="shared" si="17"/>
        <v>0.1005904307364712</v>
      </c>
      <c r="J44" s="31">
        <f t="shared" si="17"/>
        <v>0.11308775115014678</v>
      </c>
      <c r="K44" s="31">
        <f t="shared" si="17"/>
        <v>0.12184632169822132</v>
      </c>
      <c r="L44" s="31">
        <f t="shared" si="17"/>
        <v>0.12634580876782164</v>
      </c>
      <c r="M44" s="31">
        <f t="shared" si="17"/>
        <v>0.12520149674622338</v>
      </c>
      <c r="N44" s="2">
        <f t="shared" si="17"/>
        <v>0.11672036016111705</v>
      </c>
      <c r="O44" s="2">
        <f t="shared" si="17"/>
        <v>0.09970688158937521</v>
      </c>
      <c r="P44" s="2">
        <f t="shared" si="17"/>
        <v>0.07413241162315976</v>
      </c>
      <c r="Q44" s="2">
        <f t="shared" si="17"/>
        <v>0.04129374508005624</v>
      </c>
      <c r="R44" s="2">
        <f t="shared" si="17"/>
        <v>0.0034504775259552897</v>
      </c>
      <c r="S44" s="2">
        <f t="shared" si="17"/>
        <v>-0.03669095435752005</v>
      </c>
      <c r="T44" s="2">
        <f t="shared" si="17"/>
        <v>-0.07626372540915198</v>
      </c>
      <c r="U44" s="2">
        <f t="shared" si="17"/>
        <v>-0.11220594706723382</v>
      </c>
      <c r="V44" s="2">
        <f t="shared" si="17"/>
        <v>-0.14110993838934746</v>
      </c>
      <c r="W44" s="2">
        <f t="shared" si="17"/>
        <v>-0.15930012628747728</v>
      </c>
      <c r="X44" s="2">
        <f t="shared" si="17"/>
        <v>-0.16344046652099214</v>
      </c>
      <c r="Y44" s="2">
        <f t="shared" si="17"/>
        <v>-0.15169465043122438</v>
      </c>
      <c r="Z44" s="2">
        <f t="shared" si="17"/>
        <v>-0.12495307797988567</v>
      </c>
    </row>
    <row r="45" spans="1:26" s="24" customFormat="1" ht="12.75">
      <c r="A45" t="s">
        <v>39</v>
      </c>
      <c r="B45" s="31">
        <f>(B42*COS(B36)+B43*SIN(B36))/($B$9*SIN(B38-B36))</f>
        <v>0.08274861600975522</v>
      </c>
      <c r="C45" s="31">
        <f aca="true" t="shared" si="18" ref="C45:Z45">(C42*COS(C36)+C43*SIN(C36))/($B$9*SIN(C38-C36))</f>
        <v>0.12131100460865399</v>
      </c>
      <c r="D45" s="31">
        <f t="shared" si="18"/>
        <v>0.14948283125315745</v>
      </c>
      <c r="E45" s="31">
        <f t="shared" si="18"/>
        <v>0.16294783930343124</v>
      </c>
      <c r="F45" s="31">
        <f t="shared" si="18"/>
        <v>0.16047406784000015</v>
      </c>
      <c r="G45" s="31">
        <f t="shared" si="18"/>
        <v>0.14365586308196293</v>
      </c>
      <c r="H45" s="31">
        <f t="shared" si="18"/>
        <v>0.1157305224839664</v>
      </c>
      <c r="I45" s="31">
        <f t="shared" si="18"/>
        <v>0.08037734168121037</v>
      </c>
      <c r="J45" s="31">
        <f t="shared" si="18"/>
        <v>0.04104409579609595</v>
      </c>
      <c r="K45" s="31">
        <f t="shared" si="18"/>
        <v>0.0008237510579401218</v>
      </c>
      <c r="L45" s="31">
        <f t="shared" si="18"/>
        <v>-0.03740206231574718</v>
      </c>
      <c r="M45" s="31">
        <f t="shared" si="18"/>
        <v>-0.070901984990244</v>
      </c>
      <c r="N45" s="2">
        <f t="shared" si="18"/>
        <v>-0.09734491111331599</v>
      </c>
      <c r="O45" s="2">
        <f t="shared" si="18"/>
        <v>-0.11530596494049203</v>
      </c>
      <c r="P45" s="2">
        <f t="shared" si="18"/>
        <v>-0.12466740104733669</v>
      </c>
      <c r="Q45" s="2">
        <f t="shared" si="18"/>
        <v>-0.12652424010780206</v>
      </c>
      <c r="R45" s="2">
        <f t="shared" si="18"/>
        <v>-0.12255602362770979</v>
      </c>
      <c r="S45" s="2">
        <f t="shared" si="18"/>
        <v>-0.11421422649747529</v>
      </c>
      <c r="T45" s="2">
        <f t="shared" si="18"/>
        <v>-0.10212706671258452</v>
      </c>
      <c r="U45" s="2">
        <f t="shared" si="18"/>
        <v>-0.08591011689639436</v>
      </c>
      <c r="V45" s="2">
        <f t="shared" si="18"/>
        <v>-0.06439476518211913</v>
      </c>
      <c r="W45" s="2">
        <f t="shared" si="18"/>
        <v>-0.0362550776696464</v>
      </c>
      <c r="X45" s="2">
        <f t="shared" si="18"/>
        <v>-0.000987903486186331</v>
      </c>
      <c r="Y45" s="2">
        <f t="shared" si="18"/>
        <v>0.03999581147087979</v>
      </c>
      <c r="Z45" s="2">
        <f t="shared" si="18"/>
        <v>0.08274861600975522</v>
      </c>
    </row>
    <row r="46" spans="1:26" s="24" customFormat="1" ht="12.75">
      <c r="A46" t="s">
        <v>54</v>
      </c>
      <c r="B46" s="31">
        <f>DEGREES(B36)</f>
        <v>61.07424406712957</v>
      </c>
      <c r="C46" s="31">
        <f aca="true" t="shared" si="19" ref="C46:Z46">DEGREES(C36)</f>
        <v>59.47215762296481</v>
      </c>
      <c r="D46" s="31">
        <f t="shared" si="19"/>
        <v>57.52911456107256</v>
      </c>
      <c r="E46" s="31">
        <f t="shared" si="19"/>
        <v>55.410418846865745</v>
      </c>
      <c r="F46" s="31">
        <f t="shared" si="19"/>
        <v>53.277297389968645</v>
      </c>
      <c r="G46" s="31">
        <f t="shared" si="19"/>
        <v>51.27056742499117</v>
      </c>
      <c r="H46" s="31">
        <f t="shared" si="19"/>
        <v>49.5038923433424</v>
      </c>
      <c r="I46" s="31">
        <f t="shared" si="19"/>
        <v>48.0647811391508</v>
      </c>
      <c r="J46" s="31">
        <f t="shared" si="19"/>
        <v>47.01931749187738</v>
      </c>
      <c r="K46" s="31">
        <f t="shared" si="19"/>
        <v>46.41674222110365</v>
      </c>
      <c r="L46" s="31">
        <f t="shared" si="19"/>
        <v>46.29127758284142</v>
      </c>
      <c r="M46" s="31">
        <f t="shared" si="19"/>
        <v>46.66013048528225</v>
      </c>
      <c r="N46" s="2">
        <f t="shared" si="19"/>
        <v>47.51823913803136</v>
      </c>
      <c r="O46" s="2">
        <f t="shared" si="19"/>
        <v>48.83189511143274</v>
      </c>
      <c r="P46" s="2">
        <f t="shared" si="19"/>
        <v>50.534274632414636</v>
      </c>
      <c r="Q46" s="2">
        <f t="shared" si="19"/>
        <v>52.52537819029212</v>
      </c>
      <c r="R46" s="2">
        <f t="shared" si="19"/>
        <v>54.67699741756185</v>
      </c>
      <c r="S46" s="2">
        <f t="shared" si="19"/>
        <v>56.84141268856595</v>
      </c>
      <c r="T46" s="2">
        <f t="shared" si="19"/>
        <v>58.86192609690366</v>
      </c>
      <c r="U46" s="2">
        <f t="shared" si="19"/>
        <v>60.584134522058086</v>
      </c>
      <c r="V46" s="2">
        <f t="shared" si="19"/>
        <v>61.86800894691604</v>
      </c>
      <c r="W46" s="2">
        <f t="shared" si="19"/>
        <v>62.60125628983536</v>
      </c>
      <c r="X46" s="2">
        <f t="shared" si="19"/>
        <v>62.71355553608763</v>
      </c>
      <c r="Y46" s="2">
        <f t="shared" si="19"/>
        <v>62.189270661507116</v>
      </c>
      <c r="Z46" s="2">
        <f t="shared" si="19"/>
        <v>61.07424406712957</v>
      </c>
    </row>
    <row r="47" spans="1:26" s="24" customFormat="1" ht="12.75">
      <c r="A47" t="s">
        <v>55</v>
      </c>
      <c r="B47" s="31">
        <f aca="true" t="shared" si="20" ref="B47:Z47">DEGREES(B38)</f>
        <v>143.3439843746115</v>
      </c>
      <c r="C47" s="31">
        <f t="shared" si="20"/>
        <v>141.69748900406384</v>
      </c>
      <c r="D47" s="31">
        <f t="shared" si="20"/>
        <v>140.52394755212003</v>
      </c>
      <c r="E47" s="31">
        <f t="shared" si="20"/>
        <v>139.93255720231926</v>
      </c>
      <c r="F47" s="31">
        <f t="shared" si="20"/>
        <v>139.97579734796102</v>
      </c>
      <c r="G47" s="31">
        <f t="shared" si="20"/>
        <v>140.6444967177095</v>
      </c>
      <c r="H47" s="31">
        <f t="shared" si="20"/>
        <v>141.87369055429753</v>
      </c>
      <c r="I47" s="31">
        <f t="shared" si="20"/>
        <v>143.55493132359229</v>
      </c>
      <c r="J47" s="31">
        <f t="shared" si="20"/>
        <v>145.55051706111547</v>
      </c>
      <c r="K47" s="31">
        <f t="shared" si="20"/>
        <v>147.70699553907636</v>
      </c>
      <c r="L47" s="31">
        <f t="shared" si="20"/>
        <v>149.86736332656463</v>
      </c>
      <c r="M47" s="31">
        <f t="shared" si="20"/>
        <v>151.88240601984123</v>
      </c>
      <c r="N47" s="2">
        <f t="shared" si="20"/>
        <v>153.62134168595605</v>
      </c>
      <c r="O47" s="2">
        <f t="shared" si="20"/>
        <v>154.9808029860771</v>
      </c>
      <c r="P47" s="2">
        <f t="shared" si="20"/>
        <v>155.89029410652395</v>
      </c>
      <c r="Q47" s="2">
        <f t="shared" si="20"/>
        <v>156.31268330518253</v>
      </c>
      <c r="R47" s="2">
        <f t="shared" si="20"/>
        <v>156.24011496127383</v>
      </c>
      <c r="S47" s="2">
        <f t="shared" si="20"/>
        <v>155.6876871408076</v>
      </c>
      <c r="T47" s="2">
        <f t="shared" si="20"/>
        <v>154.68794935871992</v>
      </c>
      <c r="U47" s="2">
        <f t="shared" si="20"/>
        <v>153.28849736509326</v>
      </c>
      <c r="V47" s="2">
        <f t="shared" si="20"/>
        <v>151.5534076832655</v>
      </c>
      <c r="W47" s="2">
        <f t="shared" si="20"/>
        <v>149.56762126880741</v>
      </c>
      <c r="X47" s="2">
        <f t="shared" si="20"/>
        <v>147.44182616001788</v>
      </c>
      <c r="Y47" s="2">
        <f t="shared" si="20"/>
        <v>145.31406629977556</v>
      </c>
      <c r="Z47" s="2">
        <f t="shared" si="20"/>
        <v>143.3439843746115</v>
      </c>
    </row>
    <row r="48" spans="1:26" s="24" customFormat="1" ht="12.75">
      <c r="A4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63" customFormat="1" ht="12.75">
      <c r="A49" s="5"/>
      <c r="B49" s="57" t="s">
        <v>58</v>
      </c>
      <c r="C49" s="57"/>
      <c r="D49" s="57"/>
      <c r="E49" s="57"/>
      <c r="F49" s="57"/>
      <c r="G49" s="57"/>
      <c r="H49" s="57"/>
      <c r="I49" s="57"/>
      <c r="J49" s="57"/>
      <c r="K49" s="38"/>
      <c r="L49" s="38"/>
      <c r="M49" s="38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s="52" customFormat="1" ht="12.75">
      <c r="A50" s="33" t="s">
        <v>40</v>
      </c>
      <c r="B50" s="34">
        <f>B24+(($D$7-$D$5)*COS(B36-$B$36))-(($D$8-$D$6)*SIN(B36-$B$36))</f>
        <v>4.384360683071978</v>
      </c>
      <c r="C50" s="34">
        <f aca="true" t="shared" si="21" ref="C50:Z50">C24+($D$7-$D$5)*COS(C36-$B$36)-($D$8-$D$6)*SIN(C36-$B$36)</f>
        <v>4.506755544892278</v>
      </c>
      <c r="D50" s="34">
        <f t="shared" si="21"/>
        <v>4.5967673851891355</v>
      </c>
      <c r="E50" s="34">
        <f t="shared" si="21"/>
        <v>4.642988983861631</v>
      </c>
      <c r="F50" s="34">
        <f t="shared" si="21"/>
        <v>4.639590042765907</v>
      </c>
      <c r="G50" s="34">
        <f t="shared" si="21"/>
        <v>4.587416031827225</v>
      </c>
      <c r="H50" s="34">
        <f t="shared" si="21"/>
        <v>4.493438768544689</v>
      </c>
      <c r="I50" s="34">
        <f t="shared" si="21"/>
        <v>4.369012630977119</v>
      </c>
      <c r="J50" s="34">
        <f t="shared" si="21"/>
        <v>4.22762316317475</v>
      </c>
      <c r="K50" s="34">
        <f t="shared" si="21"/>
        <v>4.08271051858919</v>
      </c>
      <c r="L50" s="34">
        <f t="shared" si="21"/>
        <v>3.945940723115106</v>
      </c>
      <c r="M50" s="34">
        <f t="shared" si="21"/>
        <v>3.8261246738188532</v>
      </c>
      <c r="N50" s="34">
        <f t="shared" si="21"/>
        <v>3.728858780963481</v>
      </c>
      <c r="O50" s="34">
        <f t="shared" si="21"/>
        <v>3.6568370378127533</v>
      </c>
      <c r="P50" s="34">
        <f t="shared" si="21"/>
        <v>3.6106450487312847</v>
      </c>
      <c r="Q50" s="34">
        <f t="shared" si="21"/>
        <v>3.589739162260494</v>
      </c>
      <c r="R50" s="34">
        <f t="shared" si="21"/>
        <v>3.593306132777419</v>
      </c>
      <c r="S50" s="34">
        <f t="shared" si="21"/>
        <v>3.620796251720896</v>
      </c>
      <c r="T50" s="34">
        <f t="shared" si="21"/>
        <v>3.672051475759272</v>
      </c>
      <c r="U50" s="34">
        <f t="shared" si="21"/>
        <v>3.747031841087509</v>
      </c>
      <c r="V50" s="34">
        <f t="shared" si="21"/>
        <v>3.845169433288464</v>
      </c>
      <c r="W50" s="34">
        <f t="shared" si="21"/>
        <v>3.9644070520605443</v>
      </c>
      <c r="X50" s="34">
        <f t="shared" si="21"/>
        <v>4.1000816579395805</v>
      </c>
      <c r="Y50" s="34">
        <f t="shared" si="21"/>
        <v>4.244013566436311</v>
      </c>
      <c r="Z50" s="34">
        <f t="shared" si="21"/>
        <v>4.384360683071978</v>
      </c>
    </row>
    <row r="51" spans="1:26" s="52" customFormat="1" ht="12.75">
      <c r="A51" s="33" t="s">
        <v>41</v>
      </c>
      <c r="B51" s="34">
        <f>B25+($D$7-$D$5)*SIN(B36-$B$36)+($D$8-$D$6)*COS(B36-$B$36)</f>
        <v>6.179066290712816</v>
      </c>
      <c r="C51" s="34">
        <f aca="true" t="shared" si="22" ref="C51:Z51">C25+($D$7-$D$5)*SIN(C36-$B$36)+($D$8-$D$6)*COS(C36-$B$36)</f>
        <v>6.338693968975948</v>
      </c>
      <c r="D51" s="34">
        <f t="shared" si="22"/>
        <v>6.450289575998863</v>
      </c>
      <c r="E51" s="34">
        <f t="shared" si="22"/>
        <v>6.5058221195440185</v>
      </c>
      <c r="F51" s="34">
        <f t="shared" si="22"/>
        <v>6.501777992125511</v>
      </c>
      <c r="G51" s="34">
        <f>G25+($D$7-$D$5)*SIN(G36-$B$36)+($D$8-$D$6)*COS(G36-$B$36)</f>
        <v>6.438911441725216</v>
      </c>
      <c r="H51" s="34">
        <f t="shared" si="22"/>
        <v>6.321780119838743</v>
      </c>
      <c r="I51" s="34">
        <f t="shared" si="22"/>
        <v>6.15836280883532</v>
      </c>
      <c r="J51" s="34">
        <f t="shared" si="22"/>
        <v>5.95975575682179</v>
      </c>
      <c r="K51" s="34">
        <f t="shared" si="22"/>
        <v>5.739744001022663</v>
      </c>
      <c r="L51" s="34">
        <f t="shared" si="22"/>
        <v>5.5140242275721345</v>
      </c>
      <c r="M51" s="34">
        <f t="shared" si="22"/>
        <v>5.298979153734021</v>
      </c>
      <c r="N51" s="34">
        <f t="shared" si="22"/>
        <v>5.1101105785648775</v>
      </c>
      <c r="O51" s="34">
        <f t="shared" si="22"/>
        <v>4.960453282039069</v>
      </c>
      <c r="P51" s="34">
        <f t="shared" si="22"/>
        <v>4.859395619129666</v>
      </c>
      <c r="Q51" s="34">
        <f t="shared" si="22"/>
        <v>4.8122154953245015</v>
      </c>
      <c r="R51" s="34">
        <f t="shared" si="22"/>
        <v>4.820332195272844</v>
      </c>
      <c r="S51" s="34">
        <f t="shared" si="22"/>
        <v>4.881971467232427</v>
      </c>
      <c r="T51" s="34">
        <f t="shared" si="22"/>
        <v>4.992836025337768</v>
      </c>
      <c r="U51" s="34">
        <f t="shared" si="22"/>
        <v>5.146488392418844</v>
      </c>
      <c r="V51" s="34">
        <f t="shared" si="22"/>
        <v>5.334375607977205</v>
      </c>
      <c r="W51" s="34">
        <f t="shared" si="22"/>
        <v>5.545647721754588</v>
      </c>
      <c r="X51" s="34">
        <f t="shared" si="22"/>
        <v>5.767089533979649</v>
      </c>
      <c r="Y51" s="34">
        <f t="shared" si="22"/>
        <v>5.9835436707322245</v>
      </c>
      <c r="Z51" s="34">
        <f t="shared" si="22"/>
        <v>6.179066290712816</v>
      </c>
    </row>
    <row r="52" spans="1:26" s="52" customFormat="1" ht="12.75">
      <c r="A52" s="33" t="s">
        <v>42</v>
      </c>
      <c r="B52" s="34">
        <f>B26-B40*(B51-B25)</f>
        <v>0.5113492575861696</v>
      </c>
      <c r="C52" s="34">
        <f>C26-C40*(C51-C25)</f>
        <v>0.4142833705062631</v>
      </c>
      <c r="D52" s="34">
        <f>D26-D40*(D51-D25)</f>
        <v>0.2659225782222753</v>
      </c>
      <c r="E52" s="34">
        <f>E26-E40*(E51-E25)</f>
        <v>0.08340124708191632</v>
      </c>
      <c r="F52" s="34">
        <f>F26-F40*(F51-F25)</f>
        <v>-0.10878912530125862</v>
      </c>
      <c r="G52" s="34">
        <f>G26-G40*(G51-G25)</f>
        <v>-0.28523475525351516</v>
      </c>
      <c r="H52" s="34">
        <f>H26-H40*(H51-H25)</f>
        <v>-0.4253214850771342</v>
      </c>
      <c r="I52" s="34">
        <f>I26-I40*(I51-I25)</f>
        <v>-0.516497164175826</v>
      </c>
      <c r="J52" s="34">
        <f>J26-J40*(J51-J25)</f>
        <v>-0.5549707516096334</v>
      </c>
      <c r="K52" s="34">
        <f>K26-K40*(K51-K25)</f>
        <v>-0.5445839851385852</v>
      </c>
      <c r="L52" s="34">
        <f>L26-L40*(L51-L25)</f>
        <v>-0.4946286299619125</v>
      </c>
      <c r="M52" s="34">
        <f>M26-M40*(M51-M25)</f>
        <v>-0.417157406248214</v>
      </c>
      <c r="N52" s="34">
        <f>N26-N40*(N51-N25)</f>
        <v>-0.32423765313446784</v>
      </c>
      <c r="O52" s="34">
        <f>O26-O40*(O51-O25)</f>
        <v>-0.2256604204216318</v>
      </c>
      <c r="P52" s="34">
        <f>P26-P40*(P51-P25)</f>
        <v>-0.12762313990320218</v>
      </c>
      <c r="Q52" s="34">
        <f>Q26-Q40*(Q51-Q25)</f>
        <v>-0.03263835487502542</v>
      </c>
      <c r="R52" s="34">
        <f>R26-R40*(R51-R25)</f>
        <v>0.05953002536266638</v>
      </c>
      <c r="S52" s="34">
        <f>S26-S40*(S51-S25)</f>
        <v>0.1503960850127114</v>
      </c>
      <c r="T52" s="34">
        <f>T26-T40*(T51-T25)</f>
        <v>0.24118106263783046</v>
      </c>
      <c r="U52" s="34">
        <f>U26-U40*(U51-U25)</f>
        <v>0.3313276614871754</v>
      </c>
      <c r="V52" s="34">
        <f>V26-V40*(V51-V25)</f>
        <v>0.41715298245951815</v>
      </c>
      <c r="W52" s="34">
        <f>W26-W40*(W51-W25)</f>
        <v>0.4908501750258582</v>
      </c>
      <c r="X52" s="34">
        <f>X26-X40*(X51-X25)</f>
        <v>0.5404348786793517</v>
      </c>
      <c r="Y52" s="34">
        <f>Y26-Y40*(Y51-Y25)</f>
        <v>0.5515135470386708</v>
      </c>
      <c r="Z52" s="34">
        <f>Z26-Z40*(Z51-Z25)</f>
        <v>0.51134925758617</v>
      </c>
    </row>
    <row r="53" spans="1:26" s="52" customFormat="1" ht="12.75">
      <c r="A53" s="33" t="s">
        <v>43</v>
      </c>
      <c r="B53" s="34">
        <f>B27+B40*(B50-B24)</f>
        <v>0.6871278883429857</v>
      </c>
      <c r="C53" s="34">
        <f aca="true" t="shared" si="23" ref="C53:Z53">C27+C40*(C50-C24)</f>
        <v>0.5245264690595384</v>
      </c>
      <c r="D53" s="34">
        <f t="shared" si="23"/>
        <v>0.32286473118835024</v>
      </c>
      <c r="E53" s="34">
        <f t="shared" si="23"/>
        <v>0.09915646635041087</v>
      </c>
      <c r="F53" s="34">
        <f t="shared" si="23"/>
        <v>-0.1295386648394713</v>
      </c>
      <c r="G53" s="34">
        <f t="shared" si="23"/>
        <v>-0.3478008254318381</v>
      </c>
      <c r="H53" s="34">
        <f t="shared" si="23"/>
        <v>-0.5419199347694107</v>
      </c>
      <c r="I53" s="34">
        <f t="shared" si="23"/>
        <v>-0.6994072285926392</v>
      </c>
      <c r="J53" s="34">
        <f t="shared" si="23"/>
        <v>-0.8090146232347841</v>
      </c>
      <c r="K53" s="34">
        <f t="shared" si="23"/>
        <v>-0.8616795925400569</v>
      </c>
      <c r="L53" s="34">
        <f t="shared" si="23"/>
        <v>-0.8521600455506002</v>
      </c>
      <c r="M53" s="34">
        <f t="shared" si="23"/>
        <v>-0.7806893276832206</v>
      </c>
      <c r="N53" s="34">
        <f t="shared" si="23"/>
        <v>-0.6537838639401332</v>
      </c>
      <c r="O53" s="34">
        <f t="shared" si="23"/>
        <v>-0.4835073161040366</v>
      </c>
      <c r="P53" s="34">
        <f t="shared" si="23"/>
        <v>-0.28517548791838154</v>
      </c>
      <c r="Q53" s="34">
        <f t="shared" si="23"/>
        <v>-0.0743969899929301</v>
      </c>
      <c r="R53" s="34">
        <f t="shared" si="23"/>
        <v>0.13522898084340834</v>
      </c>
      <c r="S53" s="34">
        <f t="shared" si="23"/>
        <v>0.3328996418416723</v>
      </c>
      <c r="T53" s="34">
        <f t="shared" si="23"/>
        <v>0.5099448604845046</v>
      </c>
      <c r="U53" s="34">
        <f t="shared" si="23"/>
        <v>0.6584423837183057</v>
      </c>
      <c r="V53" s="34">
        <f t="shared" si="23"/>
        <v>0.7700110093458556</v>
      </c>
      <c r="W53" s="34">
        <f t="shared" si="23"/>
        <v>0.8355516642851548</v>
      </c>
      <c r="X53" s="34">
        <f t="shared" si="23"/>
        <v>0.8464151501175137</v>
      </c>
      <c r="Y53" s="34">
        <f t="shared" si="23"/>
        <v>0.7969046550198019</v>
      </c>
      <c r="Z53" s="34">
        <f t="shared" si="23"/>
        <v>0.6871278883429855</v>
      </c>
    </row>
    <row r="54" spans="1:26" s="52" customFormat="1" ht="12.75">
      <c r="A54" s="33" t="s">
        <v>44</v>
      </c>
      <c r="B54" s="34">
        <f>B28-B44*(B51-B25)-B40*(B53-B27)</f>
        <v>-0.2617351960712843</v>
      </c>
      <c r="C54" s="34">
        <f aca="true" t="shared" si="24" ref="C54:Z54">C28-C44*(C51-C25)-C40*(C53-C27)</f>
        <v>-0.4762465300990474</v>
      </c>
      <c r="D54" s="34">
        <f t="shared" si="24"/>
        <v>-0.645949428390421</v>
      </c>
      <c r="E54" s="34">
        <f t="shared" si="24"/>
        <v>-0.732378625930453</v>
      </c>
      <c r="F54" s="34">
        <f t="shared" si="24"/>
        <v>-0.7192882197531226</v>
      </c>
      <c r="G54" s="34">
        <f t="shared" si="24"/>
        <v>-0.6153267328138954</v>
      </c>
      <c r="H54" s="34">
        <f t="shared" si="24"/>
        <v>-0.44682963668158815</v>
      </c>
      <c r="I54" s="34">
        <f t="shared" si="24"/>
        <v>-0.2473669764723129</v>
      </c>
      <c r="J54" s="34">
        <f t="shared" si="24"/>
        <v>-0.049138951382424405</v>
      </c>
      <c r="K54" s="34">
        <f t="shared" si="24"/>
        <v>0.12239773185517015</v>
      </c>
      <c r="L54" s="34">
        <f t="shared" si="24"/>
        <v>0.2513804867108039</v>
      </c>
      <c r="M54" s="34">
        <f t="shared" si="24"/>
        <v>0.3326226890633326</v>
      </c>
      <c r="N54" s="34">
        <f t="shared" si="24"/>
        <v>0.3709122187879173</v>
      </c>
      <c r="O54" s="34">
        <f t="shared" si="24"/>
        <v>0.37821324612130924</v>
      </c>
      <c r="P54" s="34">
        <f t="shared" si="24"/>
        <v>0.36920163154950497</v>
      </c>
      <c r="Q54" s="34">
        <f t="shared" si="24"/>
        <v>0.35667687425966893</v>
      </c>
      <c r="R54" s="34">
        <f t="shared" si="24"/>
        <v>0.348503038332558</v>
      </c>
      <c r="S54" s="34">
        <f t="shared" si="24"/>
        <v>0.3465345563931737</v>
      </c>
      <c r="T54" s="34">
        <f t="shared" si="24"/>
        <v>0.34674404547262216</v>
      </c>
      <c r="U54" s="34">
        <f t="shared" si="24"/>
        <v>0.3396496779075113</v>
      </c>
      <c r="V54" s="34">
        <f t="shared" si="24"/>
        <v>0.31104992920826713</v>
      </c>
      <c r="W54" s="34">
        <f t="shared" si="24"/>
        <v>0.24421931539122413</v>
      </c>
      <c r="X54" s="34">
        <f t="shared" si="24"/>
        <v>0.1251500839265672</v>
      </c>
      <c r="Y54" s="34">
        <f t="shared" si="24"/>
        <v>-0.04899522738508073</v>
      </c>
      <c r="Z54" s="34">
        <f t="shared" si="24"/>
        <v>-0.2617351960712843</v>
      </c>
    </row>
    <row r="55" spans="1:26" s="52" customFormat="1" ht="12.75">
      <c r="A55" s="35" t="s">
        <v>45</v>
      </c>
      <c r="B55" s="36">
        <f>B29+B44*(B50-B24)+B40*(B52-B26)</f>
        <v>-0.5272549183417121</v>
      </c>
      <c r="C55" s="36">
        <f aca="true" t="shared" si="25" ref="C55:Z55">C29+C44*(C50-C24)+C40*(C52-C26)</f>
        <v>-0.7059491543894054</v>
      </c>
      <c r="D55" s="36">
        <f t="shared" si="25"/>
        <v>-0.8235804454204805</v>
      </c>
      <c r="E55" s="36">
        <f t="shared" si="25"/>
        <v>-0.8744570991467306</v>
      </c>
      <c r="F55" s="36">
        <f t="shared" si="25"/>
        <v>-0.8628357687901144</v>
      </c>
      <c r="G55" s="36">
        <f t="shared" si="25"/>
        <v>-0.7958779839093073</v>
      </c>
      <c r="H55" s="36">
        <f t="shared" si="25"/>
        <v>-0.679134582139341</v>
      </c>
      <c r="I55" s="36">
        <f t="shared" si="25"/>
        <v>-0.5167562838606992</v>
      </c>
      <c r="J55" s="36">
        <f t="shared" si="25"/>
        <v>-0.31470267789846235</v>
      </c>
      <c r="K55" s="36">
        <f t="shared" si="25"/>
        <v>-0.0841770521533552</v>
      </c>
      <c r="L55" s="36">
        <f t="shared" si="25"/>
        <v>0.15681113933847304</v>
      </c>
      <c r="M55" s="36">
        <f t="shared" si="25"/>
        <v>0.3849902729916785</v>
      </c>
      <c r="N55" s="36">
        <f t="shared" si="25"/>
        <v>0.5766610099934594</v>
      </c>
      <c r="O55" s="36">
        <f t="shared" si="25"/>
        <v>0.7142035705687575</v>
      </c>
      <c r="P55" s="36">
        <f t="shared" si="25"/>
        <v>0.790848084357554</v>
      </c>
      <c r="Q55" s="36">
        <f t="shared" si="25"/>
        <v>0.810674583173105</v>
      </c>
      <c r="R55" s="36">
        <f t="shared" si="25"/>
        <v>0.7839223978365831</v>
      </c>
      <c r="S55" s="36">
        <f t="shared" si="25"/>
        <v>0.7207473810005589</v>
      </c>
      <c r="T55" s="36">
        <f t="shared" si="25"/>
        <v>0.6268189734572385</v>
      </c>
      <c r="U55" s="36">
        <f t="shared" si="25"/>
        <v>0.5023041664496177</v>
      </c>
      <c r="V55" s="36">
        <f t="shared" si="25"/>
        <v>0.34415020432324844</v>
      </c>
      <c r="W55" s="36">
        <f t="shared" si="25"/>
        <v>0.15086887973420868</v>
      </c>
      <c r="X55" s="36">
        <f t="shared" si="25"/>
        <v>-0.07170341621466846</v>
      </c>
      <c r="Y55" s="36">
        <f t="shared" si="25"/>
        <v>-0.3065712809602062</v>
      </c>
      <c r="Z55" s="36">
        <f t="shared" si="25"/>
        <v>-0.5272549183417119</v>
      </c>
    </row>
    <row r="56" s="52" customFormat="1" ht="12.75">
      <c r="A56" s="51" t="s">
        <v>206</v>
      </c>
    </row>
    <row r="57" spans="1:26" s="52" customFormat="1" ht="12.75">
      <c r="A57" s="33" t="s">
        <v>194</v>
      </c>
      <c r="B57" s="34">
        <f>$D$3+($D$7-$D$3)*COS(B38-$B$38)-($D$8-$D$4)*SIN(B38-$B$38)</f>
        <v>4.384360683071978</v>
      </c>
      <c r="C57" s="34">
        <f>$D$3+($D$7-$D$3)*COS(C38-$B$38)-($D$8-$D$4)*SIN(C38-$B$38)</f>
        <v>4.506755544892278</v>
      </c>
      <c r="D57" s="34">
        <f>$D$3+($D$7-$D$3)*COS(D38-$B$38)-($D$8-$D$4)*SIN(D38-$B$38)</f>
        <v>4.5967673851891355</v>
      </c>
      <c r="E57" s="34">
        <f>$D$3+($D$7-$D$3)*COS(E38-$B$38)-($D$8-$D$4)*SIN(E38-$B$38)</f>
        <v>4.642988983861631</v>
      </c>
      <c r="F57" s="34">
        <f>$D$3+($D$7-$D$3)*COS(F38-$B$38)-($D$8-$D$4)*SIN(F38-$B$38)</f>
        <v>4.6395900427659065</v>
      </c>
      <c r="G57" s="34">
        <f>$D$3+($D$7-$D$3)*COS(G38-$B$38)-($D$8-$D$4)*SIN(G38-$B$38)</f>
        <v>4.587416031827227</v>
      </c>
      <c r="H57" s="34">
        <f>$D$3+($D$7-$D$3)*COS(H38-$B$38)-($D$8-$D$4)*SIN(H38-$B$38)</f>
        <v>4.4934387685446895</v>
      </c>
      <c r="I57" s="34">
        <f>$D$3+($D$7-$D$3)*COS(I38-$B$38)-($D$8-$D$4)*SIN(I38-$B$38)</f>
        <v>4.369012630977121</v>
      </c>
      <c r="J57" s="34">
        <f>$D$3+($D$7-$D$3)*COS(J38-$B$38)-($D$8-$D$4)*SIN(J38-$B$38)</f>
        <v>4.22762316317475</v>
      </c>
      <c r="K57" s="34">
        <f>$D$3+($D$7-$D$3)*COS(K38-$B$38)-($D$8-$D$4)*SIN(K38-$B$38)</f>
        <v>4.082710518589192</v>
      </c>
      <c r="L57" s="34">
        <f>$D$3+($D$7-$D$3)*COS(L38-$B$38)-($D$8-$D$4)*SIN(L38-$B$38)</f>
        <v>3.945940723115106</v>
      </c>
      <c r="M57" s="34">
        <f>$D$3+($D$7-$D$3)*COS(M38-$B$38)-($D$8-$D$4)*SIN(M38-$B$38)</f>
        <v>3.826124673818853</v>
      </c>
      <c r="N57" s="34">
        <f>$D$3+($D$7-$D$3)*COS(N38-$B$38)-($D$8-$D$4)*SIN(N38-$B$38)</f>
        <v>3.7288587809634803</v>
      </c>
      <c r="O57" s="34">
        <f>$D$3+($D$7-$D$3)*COS(O38-$B$38)-($D$8-$D$4)*SIN(O38-$B$38)</f>
        <v>3.656837037812754</v>
      </c>
      <c r="P57" s="34">
        <f>$D$3+($D$7-$D$3)*COS(P38-$B$38)-($D$8-$D$4)*SIN(P38-$B$38)</f>
        <v>3.610645048731284</v>
      </c>
      <c r="Q57" s="34">
        <f>$D$3+($D$7-$D$3)*COS(Q38-$B$38)-($D$8-$D$4)*SIN(Q38-$B$38)</f>
        <v>3.5897391622604955</v>
      </c>
      <c r="R57" s="34">
        <f>$D$3+($D$7-$D$3)*COS(R38-$B$38)-($D$8-$D$4)*SIN(R38-$B$38)</f>
        <v>3.5933061327774194</v>
      </c>
      <c r="S57" s="34">
        <f>$D$3+($D$7-$D$3)*COS(S38-$B$38)-($D$8-$D$4)*SIN(S38-$B$38)</f>
        <v>3.620796251720897</v>
      </c>
      <c r="T57" s="34">
        <f>$D$3+($D$7-$D$3)*COS(T38-$B$38)-($D$8-$D$4)*SIN(T38-$B$38)</f>
        <v>3.672051475759272</v>
      </c>
      <c r="U57" s="34">
        <f>$D$3+($D$7-$D$3)*COS(U38-$B$38)-($D$8-$D$4)*SIN(U38-$B$38)</f>
        <v>3.747031841087509</v>
      </c>
      <c r="V57" s="34">
        <f>$D$3+($D$7-$D$3)*COS(V38-$B$38)-($D$8-$D$4)*SIN(V38-$B$38)</f>
        <v>3.845169433288465</v>
      </c>
      <c r="W57" s="34">
        <f>$D$3+($D$7-$D$3)*COS(W38-$B$38)-($D$8-$D$4)*SIN(W38-$B$38)</f>
        <v>3.9644070520605452</v>
      </c>
      <c r="X57" s="34">
        <f>$D$3+($D$7-$D$3)*COS(X38-$B$38)-($D$8-$D$4)*SIN(X38-$B$38)</f>
        <v>4.100081657939581</v>
      </c>
      <c r="Y57" s="34">
        <f>$D$3+($D$7-$D$3)*COS(Y38-$B$38)-($D$8-$D$4)*SIN(Y38-$B$38)</f>
        <v>4.244013566436314</v>
      </c>
      <c r="Z57" s="34">
        <f>$D$3+($D$7-$D$3)*COS(Z38-$B$38)-($D$8-$D$4)*SIN(Z38-$B$38)</f>
        <v>4.384360683071978</v>
      </c>
    </row>
    <row r="58" spans="1:26" s="52" customFormat="1" ht="12.75">
      <c r="A58" s="33" t="s">
        <v>195</v>
      </c>
      <c r="B58" s="34">
        <f>$D$4+($D$7-$D$3)*SIN(B38-$B$38)+($D$8-$D$4)*COS(B38-$B$38)</f>
        <v>6.179066290712816</v>
      </c>
      <c r="C58" s="34">
        <f>$D$4+($D$7-$D$3)*SIN(C38-$B$38)+($D$8-$D$4)*COS(C38-$B$38)</f>
        <v>6.3386939689759485</v>
      </c>
      <c r="D58" s="34">
        <f>$D$4+($D$7-$D$3)*SIN(D38-$B$38)+($D$8-$D$4)*COS(D38-$B$38)</f>
        <v>6.450289575998864</v>
      </c>
      <c r="E58" s="34">
        <f>$D$4+($D$7-$D$3)*SIN(E38-$B$38)+($D$8-$D$4)*COS(E38-$B$38)</f>
        <v>6.505822119544021</v>
      </c>
      <c r="F58" s="34">
        <f>$D$4+($D$7-$D$3)*SIN(F38-$B$38)+($D$8-$D$4)*COS(F38-$B$38)</f>
        <v>6.501777992125509</v>
      </c>
      <c r="G58" s="34">
        <f>$D$4+($D$7-$D$3)*SIN(G38-$B$38)+($D$8-$D$4)*COS(G38-$B$38)</f>
        <v>6.438911441725221</v>
      </c>
      <c r="H58" s="34">
        <f>$D$4+($D$7-$D$3)*SIN(H38-$B$38)+($D$8-$D$4)*COS(H38-$B$38)</f>
        <v>6.321780119838743</v>
      </c>
      <c r="I58" s="34">
        <f>$D$4+($D$7-$D$3)*SIN(I38-$B$38)+($D$8-$D$4)*COS(I38-$B$38)</f>
        <v>6.158362808835323</v>
      </c>
      <c r="J58" s="34">
        <f>$D$4+($D$7-$D$3)*SIN(J38-$B$38)+($D$8-$D$4)*COS(J38-$B$38)</f>
        <v>5.9597557568217905</v>
      </c>
      <c r="K58" s="34">
        <f>$D$4+($D$7-$D$3)*SIN(K38-$B$38)+($D$8-$D$4)*COS(K38-$B$38)</f>
        <v>5.7397440010226655</v>
      </c>
      <c r="L58" s="34">
        <f>$D$4+($D$7-$D$3)*SIN(L38-$B$38)+($D$8-$D$4)*COS(L38-$B$38)</f>
        <v>5.514024227572136</v>
      </c>
      <c r="M58" s="34">
        <f>$D$4+($D$7-$D$3)*SIN(M38-$B$38)+($D$8-$D$4)*COS(M38-$B$38)</f>
        <v>5.29897915373402</v>
      </c>
      <c r="N58" s="34">
        <f>$D$4+($D$7-$D$3)*SIN(N38-$B$38)+($D$8-$D$4)*COS(N38-$B$38)</f>
        <v>5.110110578564877</v>
      </c>
      <c r="O58" s="34">
        <f>$D$4+($D$7-$D$3)*SIN(O38-$B$38)+($D$8-$D$4)*COS(O38-$B$38)</f>
        <v>4.960453282039073</v>
      </c>
      <c r="P58" s="34">
        <f>$D$4+($D$7-$D$3)*SIN(P38-$B$38)+($D$8-$D$4)*COS(P38-$B$38)</f>
        <v>4.859395619129669</v>
      </c>
      <c r="Q58" s="34">
        <f>$D$4+($D$7-$D$3)*SIN(Q38-$B$38)+($D$8-$D$4)*COS(Q38-$B$38)</f>
        <v>4.812215495324501</v>
      </c>
      <c r="R58" s="34">
        <f>$D$4+($D$7-$D$3)*SIN(R38-$B$38)+($D$8-$D$4)*COS(R38-$B$38)</f>
        <v>4.820332195272851</v>
      </c>
      <c r="S58" s="34">
        <f>$D$4+($D$7-$D$3)*SIN(S38-$B$38)+($D$8-$D$4)*COS(S38-$B$38)</f>
        <v>4.881971467232428</v>
      </c>
      <c r="T58" s="34">
        <f>$D$4+($D$7-$D$3)*SIN(T38-$B$38)+($D$8-$D$4)*COS(T38-$B$38)</f>
        <v>4.992836025337773</v>
      </c>
      <c r="U58" s="34">
        <f>$D$4+($D$7-$D$3)*SIN(U38-$B$38)+($D$8-$D$4)*COS(U38-$B$38)</f>
        <v>5.146488392418846</v>
      </c>
      <c r="V58" s="34">
        <f>$D$4+($D$7-$D$3)*SIN(V38-$B$38)+($D$8-$D$4)*COS(V38-$B$38)</f>
        <v>5.334375607977205</v>
      </c>
      <c r="W58" s="34">
        <f>$D$4+($D$7-$D$3)*SIN(W38-$B$38)+($D$8-$D$4)*COS(W38-$B$38)</f>
        <v>5.545647721754591</v>
      </c>
      <c r="X58" s="34">
        <f>$D$4+($D$7-$D$3)*SIN(X38-$B$38)+($D$8-$D$4)*COS(X38-$B$38)</f>
        <v>5.767089533979654</v>
      </c>
      <c r="Y58" s="34">
        <f>$D$4+($D$7-$D$3)*SIN(Y38-$B$38)+($D$8-$D$4)*COS(Y38-$B$38)</f>
        <v>5.983543670732228</v>
      </c>
      <c r="Z58" s="34">
        <f>$D$4+($D$7-$D$3)*SIN(Z38-$B$38)+($D$8-$D$4)*COS(Z38-$B$38)</f>
        <v>6.179066290712816</v>
      </c>
    </row>
    <row r="59" spans="1:26" s="52" customFormat="1" ht="12.75">
      <c r="A59" s="33" t="s">
        <v>196</v>
      </c>
      <c r="B59" s="34">
        <f>-B41*(B58-$D$4)</f>
        <v>0.5113492575861699</v>
      </c>
      <c r="C59" s="34">
        <f>-C41*(C58-$D$4)</f>
        <v>0.41428337050626324</v>
      </c>
      <c r="D59" s="34">
        <f>-D41*(D58-$D$4)</f>
        <v>0.2659225782222752</v>
      </c>
      <c r="E59" s="34">
        <f>-E41*(E58-$D$4)</f>
        <v>0.08340124708191632</v>
      </c>
      <c r="F59" s="34">
        <f>-F41*(F58-$D$4)</f>
        <v>-0.10878912530125863</v>
      </c>
      <c r="G59" s="34">
        <f>-G41*(G58-$D$4)</f>
        <v>-0.28523475525351527</v>
      </c>
      <c r="H59" s="34">
        <f>-H41*(H58-$D$4)</f>
        <v>-0.42532148507713446</v>
      </c>
      <c r="I59" s="34">
        <f>-I41*(I58-$D$4)</f>
        <v>-0.5164971641758263</v>
      </c>
      <c r="J59" s="34">
        <f>-J41*(J58-$D$4)</f>
        <v>-0.5549707516096336</v>
      </c>
      <c r="K59" s="34">
        <f>-K41*(K58-$D$4)</f>
        <v>-0.5445839851385855</v>
      </c>
      <c r="L59" s="34">
        <f>-L41*(L58-$D$4)</f>
        <v>-0.4946286299619128</v>
      </c>
      <c r="M59" s="34">
        <f>-M41*(M58-$D$4)</f>
        <v>-0.4171574062482138</v>
      </c>
      <c r="N59" s="34">
        <f>-N41*(N58-$D$4)</f>
        <v>-0.32423765313446806</v>
      </c>
      <c r="O59" s="34">
        <f>-O41*(O58-$D$4)</f>
        <v>-0.225660420421632</v>
      </c>
      <c r="P59" s="34">
        <f>-P41*(P58-$D$4)</f>
        <v>-0.12762313990320248</v>
      </c>
      <c r="Q59" s="34">
        <f>-Q41*(Q58-$D$4)</f>
        <v>-0.03263835487502528</v>
      </c>
      <c r="R59" s="34">
        <f>-R41*(R58-$D$4)</f>
        <v>0.05953002536266651</v>
      </c>
      <c r="S59" s="34">
        <f>-S41*(S58-$D$4)</f>
        <v>0.15039608501271148</v>
      </c>
      <c r="T59" s="34">
        <f>-T41*(T58-$D$4)</f>
        <v>0.24118106263783068</v>
      </c>
      <c r="U59" s="34">
        <f>-U41*(U58-$D$4)</f>
        <v>0.3313276614871754</v>
      </c>
      <c r="V59" s="34">
        <f>-V41*(V58-$D$4)</f>
        <v>0.41715298245951876</v>
      </c>
      <c r="W59" s="34">
        <f>-W41*(W58-$D$4)</f>
        <v>0.4908501750258582</v>
      </c>
      <c r="X59" s="34">
        <f>-X41*(X58-$D$4)</f>
        <v>0.5404348786793516</v>
      </c>
      <c r="Y59" s="34">
        <f>-Y41*(Y58-$D$4)</f>
        <v>0.5515135470386715</v>
      </c>
      <c r="Z59" s="34">
        <f>-Z41*(Z58-$D$4)</f>
        <v>0.5113492575861698</v>
      </c>
    </row>
    <row r="60" spans="1:26" s="52" customFormat="1" ht="12.75">
      <c r="A60" s="33" t="s">
        <v>197</v>
      </c>
      <c r="B60" s="34">
        <f>B41*(B57-$D$3)</f>
        <v>0.6871278883429854</v>
      </c>
      <c r="C60" s="34">
        <f>C41*(C57-$D$3)</f>
        <v>0.5245264690595384</v>
      </c>
      <c r="D60" s="34">
        <f>D41*(D57-$D$3)</f>
        <v>0.3228647311883503</v>
      </c>
      <c r="E60" s="34">
        <f>E41*(E57-$D$3)</f>
        <v>0.09915646635041087</v>
      </c>
      <c r="F60" s="34">
        <f>F41*(F57-$D$3)</f>
        <v>-0.12953866483947127</v>
      </c>
      <c r="G60" s="34">
        <f>G41*(G57-$D$3)</f>
        <v>-0.3478008254318378</v>
      </c>
      <c r="H60" s="34">
        <f>H41*(H57-$D$3)</f>
        <v>-0.5419199347694106</v>
      </c>
      <c r="I60" s="34">
        <f>I41*(I57-$D$3)</f>
        <v>-0.6994072285926388</v>
      </c>
      <c r="J60" s="34">
        <f>J41*(J57-$D$3)</f>
        <v>-0.8090146232347841</v>
      </c>
      <c r="K60" s="34">
        <f>K41*(K57-$D$3)</f>
        <v>-0.8616795925400568</v>
      </c>
      <c r="L60" s="34">
        <f>L41*(L57-$D$3)</f>
        <v>-0.8521600455506001</v>
      </c>
      <c r="M60" s="34">
        <f>M41*(M57-$D$3)</f>
        <v>-0.7806893276832205</v>
      </c>
      <c r="N60" s="34">
        <f>N41*(N57-$D$3)</f>
        <v>-0.6537838639401332</v>
      </c>
      <c r="O60" s="34">
        <f>O41*(O57-$D$3)</f>
        <v>-0.4835073161040365</v>
      </c>
      <c r="P60" s="34">
        <f>P41*(P57-$D$3)</f>
        <v>-0.2851754879183818</v>
      </c>
      <c r="Q60" s="34">
        <f>Q41*(Q57-$D$3)</f>
        <v>-0.07439698999292972</v>
      </c>
      <c r="R60" s="34">
        <f>R41*(R57-$D$3)</f>
        <v>0.13522898084340837</v>
      </c>
      <c r="S60" s="34">
        <f>S41*(S57-$D$3)</f>
        <v>0.3328996418416715</v>
      </c>
      <c r="T60" s="34">
        <f>T41*(T57-$D$3)</f>
        <v>0.509944860484505</v>
      </c>
      <c r="U60" s="34">
        <f>U41*(U57-$D$3)</f>
        <v>0.6584423837183058</v>
      </c>
      <c r="V60" s="34">
        <f>V41*(V57-$D$3)</f>
        <v>0.7700110093458551</v>
      </c>
      <c r="W60" s="34">
        <f>W41*(W57-$D$3)</f>
        <v>0.835551664285155</v>
      </c>
      <c r="X60" s="34">
        <f>X41*(X57-$D$3)</f>
        <v>0.8464151501175137</v>
      </c>
      <c r="Y60" s="34">
        <f>Y41*(Y57-$D$3)</f>
        <v>0.7969046550198018</v>
      </c>
      <c r="Z60" s="34">
        <f>Z41*(Z57-$D$3)</f>
        <v>0.6871278883429853</v>
      </c>
    </row>
    <row r="61" spans="1:26" s="52" customFormat="1" ht="12.75">
      <c r="A61" s="33" t="s">
        <v>198</v>
      </c>
      <c r="B61" s="34">
        <f>-B41*B60-B45*(B58-$D$4)</f>
        <v>-0.2617351960712844</v>
      </c>
      <c r="C61" s="34">
        <f>-C41*C60-C45*(C58-$D$4)</f>
        <v>-0.4762465300990477</v>
      </c>
      <c r="D61" s="34">
        <f>-D41*D60-D45*(D58-$D$4)</f>
        <v>-0.6459494283904211</v>
      </c>
      <c r="E61" s="34">
        <f>-E41*E60-E45*(E58-$D$4)</f>
        <v>-0.7323786259304534</v>
      </c>
      <c r="F61" s="34">
        <f>-F41*F60-F45*(F58-$D$4)</f>
        <v>-0.7192882197531228</v>
      </c>
      <c r="G61" s="34">
        <f>-G41*G60-G45*(G58-$D$4)</f>
        <v>-0.6153267328138958</v>
      </c>
      <c r="H61" s="34">
        <f>-H41*H60-H45*(H58-$D$4)</f>
        <v>-0.44682963668158815</v>
      </c>
      <c r="I61" s="34">
        <f>-I41*I60-I45*(I58-$D$4)</f>
        <v>-0.24736697647231304</v>
      </c>
      <c r="J61" s="34">
        <f>-J41*J60-J45*(J58-$D$4)</f>
        <v>-0.049138951382424245</v>
      </c>
      <c r="K61" s="34">
        <f>-K41*K60-K45*(K58-$D$4)</f>
        <v>0.12239773185517006</v>
      </c>
      <c r="L61" s="34">
        <f>-L41*L60-L45*(L58-$D$4)</f>
        <v>0.25138048671080404</v>
      </c>
      <c r="M61" s="34">
        <f>-M41*M60-M45*(M58-$D$4)</f>
        <v>0.3326226890633327</v>
      </c>
      <c r="N61" s="34">
        <f>-N41*N60-N45*(N58-$D$4)</f>
        <v>0.37091221878791747</v>
      </c>
      <c r="O61" s="34">
        <f>-O41*O60-O45*(O58-$D$4)</f>
        <v>0.3782132461213094</v>
      </c>
      <c r="P61" s="34">
        <f>-P41*P60-P45*(P58-$D$4)</f>
        <v>0.36920163154950536</v>
      </c>
      <c r="Q61" s="34">
        <f>-Q41*Q60-Q45*(Q58-$D$4)</f>
        <v>0.3566768742596688</v>
      </c>
      <c r="R61" s="34">
        <f>-R41*R60-R45*(R58-$D$4)</f>
        <v>0.3485030383325579</v>
      </c>
      <c r="S61" s="34">
        <f>-S41*S60-S45*(S58-$D$4)</f>
        <v>0.34653455639317443</v>
      </c>
      <c r="T61" s="34">
        <f>-T41*T60-T45*(T58-$D$4)</f>
        <v>0.34674404547262216</v>
      </c>
      <c r="U61" s="34">
        <f>-U41*U60-U45*(U58-$D$4)</f>
        <v>0.3396496779075112</v>
      </c>
      <c r="V61" s="34">
        <f>-V41*V60-V45*(V58-$D$4)</f>
        <v>0.3110499292082679</v>
      </c>
      <c r="W61" s="34">
        <f>-W41*W60-W45*(W58-$D$4)</f>
        <v>0.24421931539122382</v>
      </c>
      <c r="X61" s="34">
        <f>-X41*X60-X45*(X58-$D$4)</f>
        <v>0.125150083926567</v>
      </c>
      <c r="Y61" s="34">
        <f>-Y41*Y60-Y45*(Y58-$D$4)</f>
        <v>-0.04899522738508072</v>
      </c>
      <c r="Z61" s="34">
        <f>-Z41*Z60-Z45*(Z58-$D$4)</f>
        <v>-0.2617351960712845</v>
      </c>
    </row>
    <row r="62" spans="1:26" s="52" customFormat="1" ht="12.75">
      <c r="A62" s="33" t="s">
        <v>199</v>
      </c>
      <c r="B62" s="34">
        <f>B45*(B57-$D$3)+B41*B59</f>
        <v>-0.527254918341712</v>
      </c>
      <c r="C62" s="34">
        <f>C45*(C57-$D$3)+C41*C59</f>
        <v>-0.7059491543894052</v>
      </c>
      <c r="D62" s="34">
        <f>D45*(D57-$D$3)+D41*D59</f>
        <v>-0.8235804454204805</v>
      </c>
      <c r="E62" s="34">
        <f>E45*(E57-$D$3)+E41*E59</f>
        <v>-0.874457099146731</v>
      </c>
      <c r="F62" s="34">
        <f>F45*(F57-$D$3)+F41*F59</f>
        <v>-0.8628357687901141</v>
      </c>
      <c r="G62" s="34">
        <f>G45*(G57-$D$3)+G41*G59</f>
        <v>-0.7958779839093071</v>
      </c>
      <c r="H62" s="34">
        <f>H45*(H57-$D$3)+H41*H59</f>
        <v>-0.6791345821393412</v>
      </c>
      <c r="I62" s="34">
        <f>I45*(I57-$D$3)+I41*I59</f>
        <v>-0.5167562838606993</v>
      </c>
      <c r="J62" s="34">
        <f>J45*(J57-$D$3)+J41*J59</f>
        <v>-0.3147026778984622</v>
      </c>
      <c r="K62" s="34">
        <f>K45*(K57-$D$3)+K41*K59</f>
        <v>-0.08417705215335541</v>
      </c>
      <c r="L62" s="34">
        <f>L45*(L57-$D$3)+L41*L59</f>
        <v>0.15681113933847274</v>
      </c>
      <c r="M62" s="34">
        <f>M45*(M57-$D$3)+M41*M59</f>
        <v>0.38499027299167854</v>
      </c>
      <c r="N62" s="34">
        <f>N45*(N57-$D$3)+N41*N59</f>
        <v>0.5766610099934589</v>
      </c>
      <c r="O62" s="34">
        <f>O45*(O57-$D$3)+O41*O59</f>
        <v>0.7142035705687574</v>
      </c>
      <c r="P62" s="34">
        <f>P45*(P57-$D$3)+P41*P59</f>
        <v>0.7908480843575538</v>
      </c>
      <c r="Q62" s="34">
        <f>Q45*(Q57-$D$3)+Q41*Q59</f>
        <v>0.8106745831731049</v>
      </c>
      <c r="R62" s="34">
        <f>R45*(R57-$D$3)+R41*R59</f>
        <v>0.7839223978365832</v>
      </c>
      <c r="S62" s="34">
        <f>S45*(S57-$D$3)+S41*S59</f>
        <v>0.7207473810005589</v>
      </c>
      <c r="T62" s="34">
        <f>T45*(T57-$D$3)+T41*T59</f>
        <v>0.6268189734572385</v>
      </c>
      <c r="U62" s="34">
        <f>U45*(U57-$D$3)+U41*U59</f>
        <v>0.5023041664496178</v>
      </c>
      <c r="V62" s="34">
        <f>V45*(V57-$D$3)+V41*V59</f>
        <v>0.34415020432324883</v>
      </c>
      <c r="W62" s="34">
        <f>W45*(W57-$D$3)+W41*W59</f>
        <v>0.15086887973420854</v>
      </c>
      <c r="X62" s="34">
        <f>X45*(X57-$D$3)+X41*X59</f>
        <v>-0.0717034162146686</v>
      </c>
      <c r="Y62" s="34">
        <f>Y45*(Y57-$D$3)+Y41*Y59</f>
        <v>-0.3065712809602057</v>
      </c>
      <c r="Z62" s="34">
        <f>Z45*(Z57-$D$3)+Z41*Z59</f>
        <v>-0.527254918341712</v>
      </c>
    </row>
    <row r="63" spans="1:26" s="63" customFormat="1" ht="12.75">
      <c r="A63" s="5"/>
      <c r="B63" s="57" t="s">
        <v>59</v>
      </c>
      <c r="C63" s="57"/>
      <c r="D63" s="57"/>
      <c r="E63" s="57"/>
      <c r="F63" s="57"/>
      <c r="G63" s="57"/>
      <c r="H63" s="57"/>
      <c r="I63" s="57"/>
      <c r="J63" s="57"/>
      <c r="K63" s="57"/>
      <c r="L63" s="38"/>
      <c r="M63" s="38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s="24" customFormat="1" ht="12.75">
      <c r="A64" t="s">
        <v>70</v>
      </c>
      <c r="B64" s="31">
        <f aca="true" t="shared" si="26" ref="B64:Z64">($D$9)+B38</f>
        <v>2.5018244902642754</v>
      </c>
      <c r="C64" s="31">
        <f>($D$9)+C38</f>
        <v>2.473087724929375</v>
      </c>
      <c r="D64" s="31">
        <f t="shared" si="26"/>
        <v>2.4526055626843206</v>
      </c>
      <c r="E64" s="31">
        <f t="shared" si="26"/>
        <v>2.442283853915776</v>
      </c>
      <c r="F64" s="31">
        <f t="shared" si="26"/>
        <v>2.4430385368262666</v>
      </c>
      <c r="G64" s="31">
        <f t="shared" si="26"/>
        <v>2.4547095425343888</v>
      </c>
      <c r="H64" s="31">
        <f t="shared" si="26"/>
        <v>2.4761630221280706</v>
      </c>
      <c r="I64" s="31">
        <f t="shared" si="26"/>
        <v>2.5055062090710267</v>
      </c>
      <c r="J64" s="31">
        <f t="shared" si="26"/>
        <v>2.5403357506966455</v>
      </c>
      <c r="K64" s="31">
        <f t="shared" si="26"/>
        <v>2.577973400385459</v>
      </c>
      <c r="L64" s="31">
        <f t="shared" si="26"/>
        <v>2.6156789313311544</v>
      </c>
      <c r="M64" s="31">
        <f t="shared" si="26"/>
        <v>2.6508480608970855</v>
      </c>
      <c r="N64" s="2">
        <f t="shared" si="26"/>
        <v>2.68119821375115</v>
      </c>
      <c r="O64" s="2">
        <f t="shared" si="26"/>
        <v>2.704925289491705</v>
      </c>
      <c r="P64" s="2">
        <f t="shared" si="26"/>
        <v>2.720798904061155</v>
      </c>
      <c r="Q64" s="2">
        <f t="shared" si="26"/>
        <v>2.7281709863026076</v>
      </c>
      <c r="R64" s="2">
        <f t="shared" si="26"/>
        <v>2.726904429768681</v>
      </c>
      <c r="S64" s="2">
        <f t="shared" si="26"/>
        <v>2.7172627454219294</v>
      </c>
      <c r="T64" s="2">
        <f t="shared" si="26"/>
        <v>2.6998140294679134</v>
      </c>
      <c r="U64" s="2">
        <f t="shared" si="26"/>
        <v>2.67538898445553</v>
      </c>
      <c r="V64" s="2">
        <f t="shared" si="26"/>
        <v>2.6451059566902546</v>
      </c>
      <c r="W64" s="2">
        <f t="shared" si="26"/>
        <v>2.6104474455165882</v>
      </c>
      <c r="X64" s="2">
        <f t="shared" si="26"/>
        <v>2.57334532164542</v>
      </c>
      <c r="Y64" s="2">
        <f t="shared" si="26"/>
        <v>2.536208906392417</v>
      </c>
      <c r="Z64" s="2">
        <f t="shared" si="26"/>
        <v>2.5018244902642754</v>
      </c>
    </row>
    <row r="65" spans="1:26" s="24" customFormat="1" ht="12.75">
      <c r="A65" t="s">
        <v>48</v>
      </c>
      <c r="B65" s="31">
        <f>$D$3+($D$10-$D$3)*COS(B64-$B$64)-($D$11-$D$4)*SIN(B64-$B$64)</f>
        <v>3</v>
      </c>
      <c r="C65" s="31">
        <f>$D$3+($D$10-$D$3)*COS(C64-$B$64)-($D$11-$D$4)*SIN(C64-$B$64)</f>
        <v>3.0028901069905496</v>
      </c>
      <c r="D65" s="31">
        <f>$D$3+($D$10-$D$3)*COS(D64-$B$64)-($D$11-$D$4)*SIN(D64-$B$64)</f>
        <v>3.0084770483989747</v>
      </c>
      <c r="E65" s="31">
        <f aca="true" t="shared" si="27" ref="E65:Z65">$D$3+($D$10-$D$3)*COS(E64-$B$64)-($D$11-$D$4)*SIN(E64-$B$64)</f>
        <v>3.0124041406888935</v>
      </c>
      <c r="F65" s="31">
        <f t="shared" si="27"/>
        <v>3.0120917763056037</v>
      </c>
      <c r="G65" s="31">
        <f t="shared" si="27"/>
        <v>3.0077679269401987</v>
      </c>
      <c r="H65" s="31">
        <f t="shared" si="27"/>
        <v>3.0023046618395837</v>
      </c>
      <c r="I65" s="31">
        <f t="shared" si="27"/>
        <v>3.0000474426332113</v>
      </c>
      <c r="J65" s="31">
        <f t="shared" si="27"/>
        <v>3.005190268601365</v>
      </c>
      <c r="K65" s="31">
        <f t="shared" si="27"/>
        <v>3.0202854925679343</v>
      </c>
      <c r="L65" s="31">
        <f t="shared" si="27"/>
        <v>3.0453209290739283</v>
      </c>
      <c r="M65" s="31">
        <f t="shared" si="27"/>
        <v>3.0775843436215986</v>
      </c>
      <c r="N65" s="2">
        <f t="shared" si="27"/>
        <v>3.1123106470143984</v>
      </c>
      <c r="O65" s="2">
        <f t="shared" si="27"/>
        <v>3.143879165665725</v>
      </c>
      <c r="P65" s="2">
        <f t="shared" si="27"/>
        <v>3.167154754589995</v>
      </c>
      <c r="Q65" s="2">
        <f t="shared" si="27"/>
        <v>3.1785503184421735</v>
      </c>
      <c r="R65" s="2">
        <f t="shared" si="27"/>
        <v>3.1765661174037705</v>
      </c>
      <c r="S65" s="2">
        <f t="shared" si="27"/>
        <v>3.1618204015660085</v>
      </c>
      <c r="T65" s="2">
        <f t="shared" si="27"/>
        <v>3.136751903522443</v>
      </c>
      <c r="U65" s="2">
        <f t="shared" si="27"/>
        <v>3.1051717977764612</v>
      </c>
      <c r="V65" s="2">
        <f t="shared" si="27"/>
        <v>3.0717306823816752</v>
      </c>
      <c r="W65" s="2">
        <f t="shared" si="27"/>
        <v>3.041255723978627</v>
      </c>
      <c r="X65" s="2">
        <f t="shared" si="27"/>
        <v>3.0178956723013286</v>
      </c>
      <c r="Y65" s="2">
        <f t="shared" si="27"/>
        <v>3.0041376005765725</v>
      </c>
      <c r="Z65" s="2">
        <f t="shared" si="27"/>
        <v>3</v>
      </c>
    </row>
    <row r="66" spans="1:26" s="24" customFormat="1" ht="12.75">
      <c r="A66" t="s">
        <v>200</v>
      </c>
      <c r="B66" s="31">
        <f>B65-3</f>
        <v>0</v>
      </c>
      <c r="C66" s="31">
        <f aca="true" t="shared" si="28" ref="C66:Z66">C65-3</f>
        <v>0.00289010699054959</v>
      </c>
      <c r="D66" s="31">
        <f t="shared" si="28"/>
        <v>0.008477048398974674</v>
      </c>
      <c r="E66" s="31">
        <f t="shared" si="28"/>
        <v>0.012404140688893506</v>
      </c>
      <c r="F66" s="31">
        <f t="shared" si="28"/>
        <v>0.012091776305603652</v>
      </c>
      <c r="G66" s="31">
        <f t="shared" si="28"/>
        <v>0.007767926940198677</v>
      </c>
      <c r="H66" s="31">
        <f t="shared" si="28"/>
        <v>0.002304661839583666</v>
      </c>
      <c r="I66" s="31">
        <f t="shared" si="28"/>
        <v>4.744263321132536E-05</v>
      </c>
      <c r="J66" s="31">
        <f t="shared" si="28"/>
        <v>0.005190268601364956</v>
      </c>
      <c r="K66" s="31">
        <f t="shared" si="28"/>
        <v>0.020285492567934327</v>
      </c>
      <c r="L66" s="31">
        <f t="shared" si="28"/>
        <v>0.04532092907392826</v>
      </c>
      <c r="M66" s="31">
        <f t="shared" si="28"/>
        <v>0.0775843436215986</v>
      </c>
      <c r="N66" s="31">
        <f t="shared" si="28"/>
        <v>0.11231064701439841</v>
      </c>
      <c r="O66" s="31">
        <f t="shared" si="28"/>
        <v>0.14387916566572478</v>
      </c>
      <c r="P66" s="31">
        <f t="shared" si="28"/>
        <v>0.16715475458999496</v>
      </c>
      <c r="Q66" s="31">
        <f t="shared" si="28"/>
        <v>0.1785503184421735</v>
      </c>
      <c r="R66" s="31">
        <f t="shared" si="28"/>
        <v>0.17656611740377048</v>
      </c>
      <c r="S66" s="31">
        <f t="shared" si="28"/>
        <v>0.16182040156600852</v>
      </c>
      <c r="T66" s="31">
        <f t="shared" si="28"/>
        <v>0.13675190352244293</v>
      </c>
      <c r="U66" s="31">
        <f t="shared" si="28"/>
        <v>0.10517179777646124</v>
      </c>
      <c r="V66" s="31">
        <f t="shared" si="28"/>
        <v>0.07173068238167524</v>
      </c>
      <c r="W66" s="31">
        <f t="shared" si="28"/>
        <v>0.04125572397862687</v>
      </c>
      <c r="X66" s="31">
        <f t="shared" si="28"/>
        <v>0.017895672301328602</v>
      </c>
      <c r="Y66" s="31">
        <f t="shared" si="28"/>
        <v>0.004137600576572531</v>
      </c>
      <c r="Z66" s="31">
        <f t="shared" si="28"/>
        <v>0</v>
      </c>
    </row>
    <row r="67" spans="1:26" s="24" customFormat="1" ht="12.75">
      <c r="A67" t="s">
        <v>49</v>
      </c>
      <c r="B67" s="31">
        <f>$D$4+($D$10-$D$3)*SIN(B64-$B$64)+($D$11-$D$4)*COS(B64-$B$64)</f>
        <v>2</v>
      </c>
      <c r="C67" s="31">
        <f>$D$4+($D$10-$D$3)*SIN(C64-$B$64)+($D$11-$D$4)*COS(C64-$B$64)</f>
        <v>2.201129672473436</v>
      </c>
      <c r="D67" s="31">
        <f>$D$4+($D$10-$D$3)*SIN(D64-$B$64)+($D$11-$D$4)*COS(D64-$B$64)</f>
        <v>2.3443934047511448</v>
      </c>
      <c r="E67" s="31">
        <f aca="true" t="shared" si="29" ref="E67:Z67">$D$4+($D$10-$D$3)*SIN(E64-$B$64)+($D$11-$D$4)*COS(E64-$B$64)</f>
        <v>2.4165382418677566</v>
      </c>
      <c r="F67" s="31">
        <f t="shared" si="29"/>
        <v>2.411264704568995</v>
      </c>
      <c r="G67" s="31">
        <f t="shared" si="29"/>
        <v>2.329682629924336</v>
      </c>
      <c r="H67" s="31">
        <f t="shared" si="29"/>
        <v>2.1796105628519147</v>
      </c>
      <c r="I67" s="31">
        <f t="shared" si="29"/>
        <v>1.9742280265762457</v>
      </c>
      <c r="J67" s="31">
        <f t="shared" si="29"/>
        <v>1.730487808196092</v>
      </c>
      <c r="K67" s="31">
        <f t="shared" si="29"/>
        <v>1.4674726347478804</v>
      </c>
      <c r="L67" s="31">
        <f t="shared" si="29"/>
        <v>1.2047396524264062</v>
      </c>
      <c r="M67" s="31">
        <f t="shared" si="29"/>
        <v>0.960691826103925</v>
      </c>
      <c r="N67" s="2">
        <f t="shared" si="29"/>
        <v>0.7511063388867831</v>
      </c>
      <c r="O67" s="2">
        <f t="shared" si="29"/>
        <v>0.5880484763960647</v>
      </c>
      <c r="P67" s="2">
        <f t="shared" si="29"/>
        <v>0.47939950931288555</v>
      </c>
      <c r="Q67" s="2">
        <f t="shared" si="29"/>
        <v>0.42906898879211663</v>
      </c>
      <c r="R67" s="2">
        <f t="shared" si="29"/>
        <v>0.43770999816367495</v>
      </c>
      <c r="S67" s="2">
        <f t="shared" si="29"/>
        <v>0.5035709908047308</v>
      </c>
      <c r="T67" s="2">
        <f t="shared" si="29"/>
        <v>0.6231101837121498</v>
      </c>
      <c r="U67" s="2">
        <f t="shared" si="29"/>
        <v>0.7911393538447355</v>
      </c>
      <c r="V67" s="2">
        <f t="shared" si="29"/>
        <v>1.000457973595648</v>
      </c>
      <c r="W67" s="2">
        <f t="shared" si="29"/>
        <v>1.241133673866226</v>
      </c>
      <c r="X67" s="2">
        <f t="shared" si="29"/>
        <v>1.4997808908773234</v>
      </c>
      <c r="Y67" s="2">
        <f t="shared" si="29"/>
        <v>1.7593565119653423</v>
      </c>
      <c r="Z67" s="2">
        <f t="shared" si="29"/>
        <v>2</v>
      </c>
    </row>
    <row r="68" spans="1:256" s="65" customFormat="1" ht="12.75">
      <c r="A68" s="23" t="s">
        <v>50</v>
      </c>
      <c r="B68" s="39">
        <f>-B41*(B67-$D$4)</f>
        <v>0</v>
      </c>
      <c r="C68" s="39">
        <f>-C41*(C67-$D$4)</f>
        <v>0.0192050140472993</v>
      </c>
      <c r="D68" s="39">
        <f>-D41*(D67-$D$4)</f>
        <v>0.02057888156494097</v>
      </c>
      <c r="E68" s="39">
        <f>-E41*(E67-$D$4)</f>
        <v>0.007709982308976586</v>
      </c>
      <c r="F68" s="39">
        <f>-F41*(F67-$D$4)</f>
        <v>-0.009938545960196731</v>
      </c>
      <c r="G68" s="39">
        <f>-G41*(G67-$D$4)</f>
        <v>-0.02118468581595647</v>
      </c>
      <c r="H68" s="39">
        <f>-H41*(H67-$D$4)</f>
        <v>-0.017676103181891344</v>
      </c>
      <c r="I68" s="39">
        <f>-I41*(I67-$D$4)</f>
        <v>0.0032010557521102954</v>
      </c>
      <c r="J68" s="39">
        <f>-J41*(J67-$D$4)</f>
        <v>0.037772881167151766</v>
      </c>
      <c r="K68" s="39">
        <f>-K41*(K67-$D$4)</f>
        <v>0.07754698575224556</v>
      </c>
      <c r="L68" s="39">
        <f>-L41*(L67-$D$4)</f>
        <v>0.111939619851493</v>
      </c>
      <c r="M68" s="39">
        <f>-M41*(M67-$D$4)</f>
        <v>0.1314209887092877</v>
      </c>
      <c r="N68" s="39">
        <f>-N41*(N67-$D$4)</f>
        <v>0.13020062774768512</v>
      </c>
      <c r="O68" s="39">
        <f>-O41*(O67-$D$4)</f>
        <v>0.10762594240702585</v>
      </c>
      <c r="P68" s="39">
        <f>-P41*(P67-$D$4)</f>
        <v>0.06786882090100854</v>
      </c>
      <c r="Q68" s="39">
        <f>-Q41*(Q67-$D$4)</f>
        <v>0.01823210344770143</v>
      </c>
      <c r="R68" s="39">
        <f>-R41*(R67-$D$4)</f>
        <v>-0.03297596062940352</v>
      </c>
      <c r="S68" s="39">
        <f>-S41*(S67-$D$4)</f>
        <v>-0.07809135761449532</v>
      </c>
      <c r="T68" s="39">
        <f>-T41*(T67-$D$4)</f>
        <v>-0.11095821696079473</v>
      </c>
      <c r="U68" s="39">
        <f>-U41*(U67-$D$4)</f>
        <v>-0.12729396107722335</v>
      </c>
      <c r="V68" s="39">
        <f>-V41*(V67-$D$4)</f>
        <v>-0.1250494804516507</v>
      </c>
      <c r="W68" s="39">
        <f>-W41*(W67-$D$4)</f>
        <v>-0.10505546468098179</v>
      </c>
      <c r="X68" s="39">
        <f>-X41*(X67-$D$4)</f>
        <v>-0.07176252412196242</v>
      </c>
      <c r="Y68" s="39">
        <f>-Y41*(Y67-$D$4)</f>
        <v>-0.03331660316236895</v>
      </c>
      <c r="Z68" s="39">
        <f>-Z41*(Z67-$D$4)</f>
        <v>0</v>
      </c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</row>
    <row r="69" spans="1:26" s="66" customFormat="1" ht="12.75">
      <c r="A69" s="22" t="s">
        <v>51</v>
      </c>
      <c r="B69" s="34">
        <f>B41*(B65-$D$3)</f>
        <v>0.8565178329565691</v>
      </c>
      <c r="C69" s="34">
        <f aca="true" t="shared" si="30" ref="C69:Z69">C41*(C65-$D$3)</f>
        <v>0.6681241615579694</v>
      </c>
      <c r="D69" s="34">
        <f t="shared" si="30"/>
        <v>0.41777142301412135</v>
      </c>
      <c r="E69" s="34">
        <f t="shared" si="30"/>
        <v>0.12933804160692353</v>
      </c>
      <c r="F69" s="34">
        <f t="shared" si="30"/>
        <v>-0.168868483668217</v>
      </c>
      <c r="G69" s="34">
        <f t="shared" si="30"/>
        <v>-0.4493055629106763</v>
      </c>
      <c r="H69" s="34">
        <f t="shared" si="30"/>
        <v>-0.6886676533314198</v>
      </c>
      <c r="I69" s="34">
        <f t="shared" si="30"/>
        <v>-0.8694420884977779</v>
      </c>
      <c r="J69" s="34">
        <f t="shared" si="30"/>
        <v>-0.9803419837986199</v>
      </c>
      <c r="K69" s="34">
        <f t="shared" si="30"/>
        <v>-1.0163906247453105</v>
      </c>
      <c r="L69" s="34">
        <f t="shared" si="30"/>
        <v>-0.9789298985720596</v>
      </c>
      <c r="M69" s="34">
        <f t="shared" si="30"/>
        <v>-0.8753425910310144</v>
      </c>
      <c r="N69" s="3">
        <f t="shared" si="30"/>
        <v>-0.7180607167870604</v>
      </c>
      <c r="O69" s="3">
        <f t="shared" si="30"/>
        <v>-0.5226075072097568</v>
      </c>
      <c r="P69" s="3">
        <f t="shared" si="30"/>
        <v>-0.3049697491518566</v>
      </c>
      <c r="Q69" s="3">
        <f t="shared" si="30"/>
        <v>-0.07916921581541961</v>
      </c>
      <c r="R69" s="3">
        <f t="shared" si="30"/>
        <v>0.14402530055582127</v>
      </c>
      <c r="S69" s="3">
        <f t="shared" si="30"/>
        <v>0.356851360921307</v>
      </c>
      <c r="T69" s="3">
        <f t="shared" si="30"/>
        <v>0.5530825795471737</v>
      </c>
      <c r="U69" s="3">
        <f t="shared" si="30"/>
        <v>0.7260307427488696</v>
      </c>
      <c r="V69" s="3">
        <f t="shared" si="30"/>
        <v>0.8667734379452721</v>
      </c>
      <c r="W69" s="3">
        <f t="shared" si="30"/>
        <v>0.9633503139322014</v>
      </c>
      <c r="X69" s="3">
        <f t="shared" si="30"/>
        <v>1.0016679113225417</v>
      </c>
      <c r="Y69" s="3">
        <f t="shared" si="30"/>
        <v>0.9685629694104185</v>
      </c>
      <c r="Z69" s="3">
        <f t="shared" si="30"/>
        <v>0.856517832956569</v>
      </c>
    </row>
    <row r="70" spans="1:256" s="24" customFormat="1" ht="12.75">
      <c r="A70" t="s">
        <v>52</v>
      </c>
      <c r="B70" s="31">
        <f>-B41*B69-B45*(B67-$D$4)</f>
        <v>0.10480325688180248</v>
      </c>
      <c r="C70" s="31">
        <f>-C41*C69-C45*(C67-$D$4)</f>
        <v>0.03939708215588915</v>
      </c>
      <c r="D70" s="31">
        <f>-D41*D69-D45*(D67-$D$4)</f>
        <v>-0.026517389952779264</v>
      </c>
      <c r="E70" s="31">
        <f>-E41*E69-E45*(E67-$D$4)</f>
        <v>-0.06548000299059387</v>
      </c>
      <c r="F70" s="31">
        <f>-F41*F69-F45*(F67-$D$4)</f>
        <v>-0.06191647589667942</v>
      </c>
      <c r="G70" s="31">
        <f>-G41*G69-G45*(G67-$D$4)</f>
        <v>-0.018489448495816362</v>
      </c>
      <c r="H70" s="31">
        <f>-H41*H69-H45*(H67-$D$4)</f>
        <v>0.04698776619400925</v>
      </c>
      <c r="I70" s="31">
        <f>-I41*I69-I45*(I67-$D$4)</f>
        <v>0.1100621496583916</v>
      </c>
      <c r="J70" s="31">
        <f>-J41*J69-J45*(J67-$D$4)</f>
        <v>0.1484595322038229</v>
      </c>
      <c r="K70" s="31">
        <f>-K41*K69-K45*(K67-$D$4)</f>
        <v>0.14844614234490983</v>
      </c>
      <c r="L70" s="31">
        <f>-L41*L69-L45*(L67-$D$4)</f>
        <v>0.10804828546628735</v>
      </c>
      <c r="M70" s="31">
        <f>-M41*M69-M45*(M67-$D$4)</f>
        <v>0.036998454042075316</v>
      </c>
      <c r="N70" s="31">
        <f>-N41*N69-N45*(N67-$D$4)</f>
        <v>-0.04671362129680472</v>
      </c>
      <c r="O70" s="31">
        <f>-O41*O69-O45*(O67-$D$4)</f>
        <v>-0.12297069876697507</v>
      </c>
      <c r="P70" s="31">
        <f>-P41*P69-P45*(P67-$D$4)</f>
        <v>-0.17595762463001188</v>
      </c>
      <c r="Q70" s="31">
        <f>-Q41*Q69-Q45*(Q67-$D$4)</f>
        <v>-0.19784202067782825</v>
      </c>
      <c r="R70" s="31">
        <f>-R41*R69-R45*(R67-$D$4)</f>
        <v>-0.1884280433149201</v>
      </c>
      <c r="S70" s="31">
        <f>-S41*S69-S45*(S67-$D$4)</f>
        <v>-0.15229114350046596</v>
      </c>
      <c r="T70" s="31">
        <f>-T41*T69-T45*(T67-$D$4)</f>
        <v>-0.09604693538394601</v>
      </c>
      <c r="U70" s="31">
        <f>-U41*U69-U45*(U67-$D$4)</f>
        <v>-0.02740176063640541</v>
      </c>
      <c r="V70" s="31">
        <f>-V41*V69-V45*(V67-$D$4)</f>
        <v>0.04407395630862998</v>
      </c>
      <c r="W70" s="31">
        <f>-W41*W69-W45*(W67-$D$4)</f>
        <v>0.10585093426419492</v>
      </c>
      <c r="X70" s="31">
        <f>-X41*X69-X45*(X67-$D$4)</f>
        <v>0.14320729449236339</v>
      </c>
      <c r="Y70" s="31">
        <f>-Y41*Y69-Y45*(Y67-$D$4)</f>
        <v>0.14372031153085071</v>
      </c>
      <c r="Z70" s="31">
        <f>-Z41*Z69-Z45*(Z67-$D$4)</f>
        <v>0.10480325688180245</v>
      </c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</row>
    <row r="71" spans="1:26" s="24" customFormat="1" ht="12.75">
      <c r="A71" t="s">
        <v>53</v>
      </c>
      <c r="B71" s="31">
        <f>B41*B68+B45*(B65-$D$3)</f>
        <v>-0.5792403120682865</v>
      </c>
      <c r="C71" s="31">
        <f aca="true" t="shared" si="31" ref="C71:Z71">C41*C68+C45*(C65-$D$3)</f>
        <v>-0.8506602353067301</v>
      </c>
      <c r="D71" s="31">
        <f t="shared" si="31"/>
        <v>-1.0463423159497092</v>
      </c>
      <c r="E71" s="31">
        <f t="shared" si="31"/>
        <v>-1.1387563563713907</v>
      </c>
      <c r="F71" s="31">
        <f t="shared" si="31"/>
        <v>-1.1216182313923841</v>
      </c>
      <c r="G71" s="31">
        <f t="shared" si="31"/>
        <v>-1.005836414970788</v>
      </c>
      <c r="H71" s="31">
        <f t="shared" si="31"/>
        <v>-0.8115865047563782</v>
      </c>
      <c r="I71" s="31">
        <f t="shared" si="31"/>
        <v>-0.562239985389822</v>
      </c>
      <c r="J71" s="31">
        <f t="shared" si="31"/>
        <v>-0.28180166663320066</v>
      </c>
      <c r="K71" s="31">
        <f t="shared" si="31"/>
        <v>0.005542895942880585</v>
      </c>
      <c r="L71" s="31">
        <f t="shared" si="31"/>
        <v>0.2758757882225012</v>
      </c>
      <c r="M71" s="31">
        <f t="shared" si="31"/>
        <v>0.5074312544339639</v>
      </c>
      <c r="N71" s="2">
        <f t="shared" si="31"/>
        <v>0.6840552843726819</v>
      </c>
      <c r="O71" s="2">
        <f t="shared" si="31"/>
        <v>0.7987554112489893</v>
      </c>
      <c r="P71" s="2">
        <f t="shared" si="31"/>
        <v>0.8548622413028857</v>
      </c>
      <c r="Q71" s="2">
        <f t="shared" si="31"/>
        <v>0.8632903377709314</v>
      </c>
      <c r="R71" s="2">
        <f t="shared" si="31"/>
        <v>0.836948962631171</v>
      </c>
      <c r="S71" s="2">
        <f t="shared" si="31"/>
        <v>0.7850926019299249</v>
      </c>
      <c r="T71" s="2">
        <f t="shared" si="31"/>
        <v>0.7098650891261368</v>
      </c>
      <c r="U71" s="2">
        <f t="shared" si="31"/>
        <v>0.6057396493951396</v>
      </c>
      <c r="V71" s="2">
        <f t="shared" si="31"/>
        <v>0.46178881317276127</v>
      </c>
      <c r="W71" s="2">
        <f t="shared" si="31"/>
        <v>0.2668334173183903</v>
      </c>
      <c r="X71" s="2">
        <f t="shared" si="31"/>
        <v>0.01719285339489269</v>
      </c>
      <c r="Y71" s="2">
        <f t="shared" si="31"/>
        <v>-0.2751925774245598</v>
      </c>
      <c r="Z71" s="2">
        <f t="shared" si="31"/>
        <v>-0.5792403120682865</v>
      </c>
    </row>
    <row r="72" spans="1:256" s="24" customFormat="1" ht="12.75">
      <c r="A72" t="s">
        <v>207</v>
      </c>
      <c r="B72" s="31">
        <f>(B65-B50)^2+(B67-B51)^2-$I$11</f>
        <v>0</v>
      </c>
      <c r="C72" s="31">
        <f>(C65-C50)^2+(C67-C51)^2-$I$11</f>
        <v>0</v>
      </c>
      <c r="D72" s="31">
        <f>(D65-D50)^2+(D67-D51)^2-$I$11</f>
        <v>0</v>
      </c>
      <c r="E72" s="31">
        <f>(E65-E50)^2+(E67-E51)^2-$I$11</f>
        <v>0</v>
      </c>
      <c r="F72" s="31">
        <f>(F65-F50)^2+(F67-F51)^2-$I$11</f>
        <v>0</v>
      </c>
      <c r="G72" s="31">
        <f>(G65-G50)^2+(G67-G51)^2-$I$11</f>
        <v>-4.973799150320701E-14</v>
      </c>
      <c r="H72" s="31">
        <f>(H65-H50)^2+(H67-H51)^2-$I$11</f>
        <v>0</v>
      </c>
      <c r="I72" s="31">
        <f>(I65-I50)^2+(I67-I51)^2-$I$11</f>
        <v>-3.197442310920451E-14</v>
      </c>
      <c r="J72" s="31">
        <f>(J65-J50)^2+(J67-J51)^2-$I$11</f>
        <v>0</v>
      </c>
      <c r="K72" s="31">
        <f>(K65-K50)^2+(K67-K51)^2-$I$11</f>
        <v>0</v>
      </c>
      <c r="L72" s="31">
        <f>(L65-L50)^2+(L67-L51)^2-$I$11</f>
        <v>0</v>
      </c>
      <c r="M72" s="31">
        <f>(M65-M50)^2+(M67-M51)^2-$I$11</f>
        <v>0</v>
      </c>
      <c r="N72" s="31">
        <f>(N65-N50)^2+(N67-N51)^2-$I$11</f>
        <v>0</v>
      </c>
      <c r="O72" s="31">
        <f>(O65-O50)^2+(O67-O51)^2-$I$11</f>
        <v>-4.263256414560601E-14</v>
      </c>
      <c r="P72" s="31">
        <f>(P65-P50)^2+(P67-P51)^2-$I$11</f>
        <v>-3.552713678800501E-14</v>
      </c>
      <c r="Q72" s="31">
        <f>(Q65-Q50)^2+(Q67-Q51)^2-$I$11</f>
        <v>0</v>
      </c>
      <c r="R72" s="31">
        <f>(R65-R50)^2+(R67-R51)^2-$I$11</f>
        <v>-6.394884621840902E-14</v>
      </c>
      <c r="S72" s="31">
        <f>(S65-S50)^2+(S67-S51)^2-$I$11</f>
        <v>0</v>
      </c>
      <c r="T72" s="31">
        <f>(T65-T50)^2+(T67-T51)^2-$I$11</f>
        <v>-4.263256414560601E-14</v>
      </c>
      <c r="U72" s="31">
        <f>(U65-U50)^2+(U67-U51)^2-$I$11</f>
        <v>0</v>
      </c>
      <c r="V72" s="31">
        <f>(V65-V50)^2+(V67-V51)^2-$I$11</f>
        <v>0</v>
      </c>
      <c r="W72" s="31">
        <f>(W65-W50)^2+(W67-W51)^2-$I$11</f>
        <v>0</v>
      </c>
      <c r="X72" s="31">
        <f>(X65-X50)^2+(X67-X51)^2-$I$11</f>
        <v>-3.907985046680551E-14</v>
      </c>
      <c r="Y72" s="31">
        <f>(Y65-Y50)^2+(Y67-Y51)^2-$I$11</f>
        <v>-4.618527782440651E-14</v>
      </c>
      <c r="Z72" s="31">
        <f>(Z65-Z50)^2+(Z67-Z51)^2-$I$11</f>
        <v>0</v>
      </c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</row>
    <row r="73" spans="1:256" s="24" customFormat="1" ht="12.75">
      <c r="A73" s="30" t="s">
        <v>72</v>
      </c>
      <c r="B73" s="40">
        <f>POWER(B67-$F$4,2)</f>
        <v>4</v>
      </c>
      <c r="C73" s="40">
        <f>POWER(C67-$F$4,2)</f>
        <v>4.844971835043015</v>
      </c>
      <c r="D73" s="40">
        <f>POWER(D67-$F$4,2)</f>
        <v>5.496180436240665</v>
      </c>
      <c r="E73" s="40">
        <f>POWER(E67-$F$4,2)</f>
        <v>5.839657074409308</v>
      </c>
      <c r="F73" s="40">
        <f>POWER(F67-$F$4,2)</f>
        <v>5.814197475500204</v>
      </c>
      <c r="G73" s="40">
        <f>POWER(G67-$F$4,2)</f>
        <v>5.42742115617117</v>
      </c>
      <c r="H73" s="40">
        <f>POWER(H67-$F$4,2)</f>
        <v>4.7507022056956405</v>
      </c>
      <c r="I73" s="40">
        <f>POWER(I67-$F$4,2)</f>
        <v>3.8975763009191375</v>
      </c>
      <c r="J73" s="40">
        <f>POWER(J67-$F$4,2)</f>
        <v>2.9945880543153143</v>
      </c>
      <c r="K73" s="40">
        <f>POWER(K67-$F$4,2)</f>
        <v>2.153475933733886</v>
      </c>
      <c r="L73" s="40">
        <f>POWER(L67-$F$4,2)</f>
        <v>1.451397630128498</v>
      </c>
      <c r="M73" s="40">
        <f>POWER(M67-$F$4,2)</f>
        <v>0.9229287847428941</v>
      </c>
      <c r="N73" s="40">
        <f>POWER(N67-$F$4,2)</f>
        <v>0.5641607323159071</v>
      </c>
      <c r="O73" s="40">
        <f>POWER(O67-$F$4,2)</f>
        <v>0.34580101059173307</v>
      </c>
      <c r="P73" s="40">
        <f>POWER(P67-$F$4,2)</f>
        <v>0.22982388952943544</v>
      </c>
      <c r="Q73" s="40">
        <f>POWER(Q67-$F$4,2)</f>
        <v>0.1841001971430895</v>
      </c>
      <c r="R73" s="40">
        <f>POWER(R67-$F$4,2)</f>
        <v>0.19159004249244432</v>
      </c>
      <c r="S73" s="40">
        <f>POWER(S67-$F$4,2)</f>
        <v>0.25358374278005824</v>
      </c>
      <c r="T73" s="40">
        <f>POWER(T67-$F$4,2)</f>
        <v>0.388266301045789</v>
      </c>
      <c r="U73" s="40">
        <f>POWER(U67-$F$4,2)</f>
        <v>0.6259014772018657</v>
      </c>
      <c r="V73" s="40">
        <f>POWER(V67-$F$4,2)</f>
        <v>1.0009161569311105</v>
      </c>
      <c r="W73" s="40">
        <f>POWER(W67-$F$4,2)</f>
        <v>1.5404127964046754</v>
      </c>
      <c r="X73" s="40">
        <f>POWER(X67-$F$4,2)</f>
        <v>2.2493427206407777</v>
      </c>
      <c r="Y73" s="40">
        <f>POWER(Y67-$F$4,2)</f>
        <v>3.0953353361948555</v>
      </c>
      <c r="Z73" s="40">
        <f>POWER(Z67-$F$4,2)</f>
        <v>4</v>
      </c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  <c r="IK73" s="67"/>
      <c r="IL73" s="67"/>
      <c r="IM73" s="67"/>
      <c r="IN73" s="67"/>
      <c r="IO73" s="67"/>
      <c r="IP73" s="67"/>
      <c r="IQ73" s="67"/>
      <c r="IR73" s="67"/>
      <c r="IS73" s="67"/>
      <c r="IT73" s="67"/>
      <c r="IU73" s="67"/>
      <c r="IV73" s="67"/>
    </row>
    <row r="74" spans="1:256" s="24" customFormat="1" ht="12.75">
      <c r="A74" s="30" t="s">
        <v>71</v>
      </c>
      <c r="B74" s="40">
        <f>POWER(B65-$F$3,2)</f>
        <v>4</v>
      </c>
      <c r="C74" s="40">
        <f>POWER(C65-$F$3,2)</f>
        <v>3.9884479247562186</v>
      </c>
      <c r="D74" s="40">
        <f>POWER(D65-$F$3,2)</f>
        <v>3.9661636667536597</v>
      </c>
      <c r="E74" s="40">
        <f>POWER(E65-$F$3,2)</f>
        <v>3.950537299950656</v>
      </c>
      <c r="F74" s="40">
        <f>POWER(F65-$F$3,2)</f>
        <v>3.95177910583181</v>
      </c>
      <c r="G74" s="40">
        <f>POWER(G65-$F$3,2)</f>
        <v>3.9689886329281534</v>
      </c>
      <c r="H74" s="40">
        <f>POWER(H65-$F$3,2)</f>
        <v>3.99078666410786</v>
      </c>
      <c r="I74" s="40">
        <f>POWER(I65-$F$3,2)</f>
        <v>3.9998102317179582</v>
      </c>
      <c r="J74" s="40">
        <f>POWER(J65-$F$3,2)</f>
        <v>3.9792658644826946</v>
      </c>
      <c r="K74" s="40">
        <f>POWER(K65-$F$3,2)</f>
        <v>3.9192695309369863</v>
      </c>
      <c r="L74" s="40">
        <f>POWER(L65-$F$3,2)</f>
        <v>3.820770270316411</v>
      </c>
      <c r="M74" s="40">
        <f>POWER(M65-$F$3,2)</f>
        <v>3.6956819558887997</v>
      </c>
      <c r="N74" s="40">
        <f>POWER(N65-$F$3,2)</f>
        <v>3.563371093375199</v>
      </c>
      <c r="O74" s="40">
        <f>POWER(O65-$F$3,2)</f>
        <v>3.445184551649766</v>
      </c>
      <c r="P74" s="40">
        <f>POWER(P65-$F$3,2)</f>
        <v>3.3593216936220616</v>
      </c>
      <c r="Q74" s="40">
        <f>POWER(Q65-$F$3,2)</f>
        <v>3.3176789424471074</v>
      </c>
      <c r="R74" s="40">
        <f>POWER(R65-$F$3,2)</f>
        <v>3.3249111241999603</v>
      </c>
      <c r="S74" s="40">
        <f>POWER(S65-$F$3,2)</f>
        <v>3.37890423609895</v>
      </c>
      <c r="T74" s="40">
        <f>POWER(T65-$F$3,2)</f>
        <v>3.47169346902724</v>
      </c>
      <c r="U74" s="40">
        <f>POWER(U65-$F$3,2)</f>
        <v>3.590373915941688</v>
      </c>
      <c r="V74" s="40">
        <f>POWER(V65-$F$3,2)</f>
        <v>3.71822256126824</v>
      </c>
      <c r="W74" s="40">
        <f>POWER(W65-$F$3,2)</f>
        <v>3.836679138846493</v>
      </c>
      <c r="X74" s="40">
        <f>POWER(X65-$F$3,2)</f>
        <v>3.9287375658818022</v>
      </c>
      <c r="Y74" s="40">
        <f>POWER(Y65-$F$3,2)</f>
        <v>3.983466717432241</v>
      </c>
      <c r="Z74" s="40">
        <f>POWER(Z65-$F$3,2)</f>
        <v>4</v>
      </c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  <c r="IA74" s="67"/>
      <c r="IB74" s="67"/>
      <c r="IC74" s="67"/>
      <c r="ID74" s="67"/>
      <c r="IE74" s="67"/>
      <c r="IF74" s="67"/>
      <c r="IG74" s="67"/>
      <c r="IH74" s="67"/>
      <c r="II74" s="67"/>
      <c r="IJ74" s="67"/>
      <c r="IK74" s="67"/>
      <c r="IL74" s="67"/>
      <c r="IM74" s="67"/>
      <c r="IN74" s="67"/>
      <c r="IO74" s="67"/>
      <c r="IP74" s="67"/>
      <c r="IQ74" s="67"/>
      <c r="IR74" s="67"/>
      <c r="IS74" s="67"/>
      <c r="IT74" s="67"/>
      <c r="IU74" s="67"/>
      <c r="IV74" s="67"/>
    </row>
    <row r="75" spans="1:256" s="24" customFormat="1" ht="12.75">
      <c r="A75" s="30" t="s">
        <v>68</v>
      </c>
      <c r="B75" s="40">
        <f>SQRT(B73+B74)</f>
        <v>2.8284271247461903</v>
      </c>
      <c r="C75" s="40">
        <f>SQRT(C73+C74)</f>
        <v>2.9721069563189064</v>
      </c>
      <c r="D75" s="40">
        <f>SQRT(D73+D74)</f>
        <v>3.0760923430538174</v>
      </c>
      <c r="E75" s="40">
        <f>SQRT(E73+E74)</f>
        <v>3.128928630435658</v>
      </c>
      <c r="F75" s="40">
        <f>SQRT(F73+F74)</f>
        <v>3.1250562525068273</v>
      </c>
      <c r="G75" s="40">
        <f>SQRT(G73+G74)</f>
        <v>3.0653563885948603</v>
      </c>
      <c r="H75" s="40">
        <f>SQRT(H73+H74)</f>
        <v>2.9566008979575686</v>
      </c>
      <c r="I75" s="40">
        <f>SQRT(I73+I74)</f>
        <v>2.8102289110741667</v>
      </c>
      <c r="J75" s="40">
        <f>SQRT(J73+J74)</f>
        <v>2.640805543541214</v>
      </c>
      <c r="K75" s="40">
        <f>SQRT(K73+K74)</f>
        <v>2.4642941108298886</v>
      </c>
      <c r="L75" s="40">
        <f>SQRT(L73+L74)</f>
        <v>2.296120184233593</v>
      </c>
      <c r="M75" s="40">
        <f>SQRT(M73+M74)</f>
        <v>2.149095330745403</v>
      </c>
      <c r="N75" s="40">
        <f>SQRT(N73+N74)</f>
        <v>2.0316327979462985</v>
      </c>
      <c r="O75" s="40">
        <f>SQRT(O73+O74)</f>
        <v>1.9470453415987772</v>
      </c>
      <c r="P75" s="40">
        <f>SQRT(P73+P74)</f>
        <v>1.894504046749834</v>
      </c>
      <c r="Q75" s="40">
        <f>SQRT(Q73+Q74)</f>
        <v>1.8713041280321585</v>
      </c>
      <c r="R75" s="40">
        <f>SQRT(R73+R74)</f>
        <v>1.8752336298958603</v>
      </c>
      <c r="S75" s="40">
        <f>SQRT(S73+S74)</f>
        <v>1.9059087016116507</v>
      </c>
      <c r="T75" s="40">
        <f>SQRT(T73+T74)</f>
        <v>1.9646780321653288</v>
      </c>
      <c r="U75" s="40">
        <f>SQRT(U73+U74)</f>
        <v>2.0533571031711833</v>
      </c>
      <c r="V75" s="40">
        <f>SQRT(V73+V74)</f>
        <v>2.172357870655604</v>
      </c>
      <c r="W75" s="40">
        <f>SQRT(W73+W74)</f>
        <v>2.3188557383440584</v>
      </c>
      <c r="X75" s="40">
        <f>SQRT(X73+X74)</f>
        <v>2.4855744379363456</v>
      </c>
      <c r="Y75" s="40">
        <f>SQRT(Y73+Y74)</f>
        <v>2.6606018216988234</v>
      </c>
      <c r="Z75" s="40">
        <f>SQRT(Z73+Z74)</f>
        <v>2.8284271247461903</v>
      </c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  <c r="HR75" s="67"/>
      <c r="HS75" s="67"/>
      <c r="HT75" s="67"/>
      <c r="HU75" s="67"/>
      <c r="HV75" s="67"/>
      <c r="HW75" s="67"/>
      <c r="HX75" s="67"/>
      <c r="HY75" s="67"/>
      <c r="HZ75" s="67"/>
      <c r="IA75" s="67"/>
      <c r="IB75" s="67"/>
      <c r="IC75" s="67"/>
      <c r="ID75" s="67"/>
      <c r="IE75" s="67"/>
      <c r="IF75" s="67"/>
      <c r="IG75" s="67"/>
      <c r="IH75" s="67"/>
      <c r="II75" s="67"/>
      <c r="IJ75" s="67"/>
      <c r="IK75" s="67"/>
      <c r="IL75" s="67"/>
      <c r="IM75" s="67"/>
      <c r="IN75" s="67"/>
      <c r="IO75" s="67"/>
      <c r="IP75" s="67"/>
      <c r="IQ75" s="67"/>
      <c r="IR75" s="67"/>
      <c r="IS75" s="67"/>
      <c r="IT75" s="67"/>
      <c r="IU75" s="67"/>
      <c r="IV75" s="67"/>
    </row>
    <row r="76" spans="1:26" s="63" customFormat="1" ht="12.75">
      <c r="A76" s="5"/>
      <c r="B76" s="57" t="s">
        <v>73</v>
      </c>
      <c r="C76" s="57"/>
      <c r="D76" s="57"/>
      <c r="E76" s="57"/>
      <c r="F76" s="57"/>
      <c r="G76" s="57"/>
      <c r="H76" s="57"/>
      <c r="I76" s="57"/>
      <c r="J76" s="57"/>
      <c r="K76" s="38"/>
      <c r="L76" s="38"/>
      <c r="M76" s="38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56" s="24" customFormat="1" ht="12.75">
      <c r="A77" t="s">
        <v>69</v>
      </c>
      <c r="B77" s="40">
        <f>ATAN((B67-$F$4)/(B65-$F$3))</f>
        <v>-0.7853981633974483</v>
      </c>
      <c r="C77" s="40">
        <f>ATAN((C67-$F$4)/(C65-$F$3))</f>
        <v>-0.83395646925621</v>
      </c>
      <c r="D77" s="40">
        <f>ATAN((D67-$F$4)/(D65-$F$3))</f>
        <v>-0.8666023334007568</v>
      </c>
      <c r="E77" s="40">
        <f>ATAN((E67-$F$4)/(E65-$F$3))</f>
        <v>-0.8824873400579912</v>
      </c>
      <c r="F77" s="40">
        <f>ATAN((F67-$F$4)/(F65-$F$3))</f>
        <v>-0.8813381874461603</v>
      </c>
      <c r="G77" s="40">
        <f>ATAN((G67-$F$4)/(G65-$F$3))</f>
        <v>-0.8633190252464512</v>
      </c>
      <c r="H77" s="40">
        <f>ATAN((H67-$F$4)/(H65-$F$3))</f>
        <v>-0.8289191218506644</v>
      </c>
      <c r="I77" s="40">
        <f>ATAN((I67-$F$4)/(I65-$F$3))</f>
        <v>-0.7789253393820057</v>
      </c>
      <c r="J77" s="40">
        <f>ATAN((J67-$F$4)/(J65-$F$3))</f>
        <v>-0.7145636350531694</v>
      </c>
      <c r="K77" s="40">
        <f>ATAN((K67-$F$4)/(K65-$F$3))</f>
        <v>-0.6378805663730948</v>
      </c>
      <c r="L77" s="40">
        <f>ATAN((L67-$F$4)/(L65-$F$3))</f>
        <v>-0.5523449618758677</v>
      </c>
      <c r="M77" s="40">
        <f>ATAN((M67-$F$4)/(M65-$F$3))</f>
        <v>-0.4634328552425023</v>
      </c>
      <c r="N77" s="1">
        <f>ATAN((N67-$F$4)/(N65-$F$3))</f>
        <v>-0.3786923192056787</v>
      </c>
      <c r="O77" s="1">
        <f>ATAN((O67-$F$4)/(O65-$F$3))</f>
        <v>-0.3068118890778157</v>
      </c>
      <c r="P77" s="1">
        <f>ATAN((P67-$F$4)/(P65-$F$3))</f>
        <v>-0.25582898288010664</v>
      </c>
      <c r="Q77" s="1">
        <f>ATAN((Q67-$F$4)/(Q65-$F$3))</f>
        <v>-0.2313469048695186</v>
      </c>
      <c r="R77" s="1">
        <f>ATAN((R67-$F$4)/(R65-$F$3))</f>
        <v>-0.23558950602050807</v>
      </c>
      <c r="S77" s="1">
        <f>ATAN((S67-$F$4)/(S65-$F$3))</f>
        <v>-0.26739062756254184</v>
      </c>
      <c r="T77" s="1">
        <f>ATAN((T67-$F$4)/(T65-$F$3))</f>
        <v>-0.3227295653716965</v>
      </c>
      <c r="U77" s="1">
        <f>ATAN((U67-$F$4)/(U65-$F$3))</f>
        <v>-0.39552280091853875</v>
      </c>
      <c r="V77" s="1">
        <f>ATAN((V67-$F$4)/(V65-$F$3))</f>
        <v>-0.47860360316080797</v>
      </c>
      <c r="W77" s="1">
        <f>ATAN((W67-$F$4)/(W65-$F$3))</f>
        <v>-0.5647863979419574</v>
      </c>
      <c r="X77" s="1">
        <f>ATAN((X67-$F$4)/(X65-$F$3))</f>
        <v>-0.6477504878135206</v>
      </c>
      <c r="Y77" s="1">
        <f>ATAN((Y67-$F$4)/(Y65-$F$3))</f>
        <v>-0.7225006517821192</v>
      </c>
      <c r="Z77" s="1">
        <f>ATAN((Z67-$F$4)/(Z65-$F$3))</f>
        <v>-0.7853981633974483</v>
      </c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  <c r="IV77" s="68"/>
    </row>
    <row r="78" spans="1:26" s="24" customFormat="1" ht="12.75">
      <c r="A78" t="s">
        <v>74</v>
      </c>
      <c r="B78" s="31">
        <f>B65-$F$3</f>
        <v>-2</v>
      </c>
      <c r="C78" s="31">
        <f>C65-$F$3</f>
        <v>-1.9971098930094504</v>
      </c>
      <c r="D78" s="31">
        <f>D65-$F$3</f>
        <v>-1.9915229516010253</v>
      </c>
      <c r="E78" s="31">
        <f>E65-$F$3</f>
        <v>-1.9875958593111065</v>
      </c>
      <c r="F78" s="31">
        <f>F65-$F$3</f>
        <v>-1.9879082236943963</v>
      </c>
      <c r="G78" s="31">
        <f>G65-$F$3</f>
        <v>-1.9922320730598013</v>
      </c>
      <c r="H78" s="31">
        <f>H65-$F$3</f>
        <v>-1.9976953381604163</v>
      </c>
      <c r="I78" s="31">
        <f>I65-$F$3</f>
        <v>-1.9999525573667887</v>
      </c>
      <c r="J78" s="31">
        <f>J65-$F$3</f>
        <v>-1.994809731398635</v>
      </c>
      <c r="K78" s="31">
        <f>K65-$F$3</f>
        <v>-1.9797145074320657</v>
      </c>
      <c r="L78" s="31">
        <f>L65-$F$3</f>
        <v>-1.9546790709260717</v>
      </c>
      <c r="M78" s="31">
        <f>M65-$F$3</f>
        <v>-1.9224156563784014</v>
      </c>
      <c r="N78" s="2">
        <f>N65-$F$3</f>
        <v>-1.8876893529856016</v>
      </c>
      <c r="O78" s="2">
        <f>O65-$F$3</f>
        <v>-1.8561208343342752</v>
      </c>
      <c r="P78" s="2">
        <f>P65-$F$3</f>
        <v>-1.832845245410005</v>
      </c>
      <c r="Q78" s="2">
        <f>Q65-$F$3</f>
        <v>-1.8214496815578265</v>
      </c>
      <c r="R78" s="2">
        <f>R65-$F$3</f>
        <v>-1.8234338825962295</v>
      </c>
      <c r="S78" s="2">
        <f>S65-$F$3</f>
        <v>-1.8381795984339915</v>
      </c>
      <c r="T78" s="2">
        <f>T65-$F$3</f>
        <v>-1.863248096477557</v>
      </c>
      <c r="U78" s="2">
        <f>U65-$F$3</f>
        <v>-1.8948282022235388</v>
      </c>
      <c r="V78" s="2">
        <f>V65-$F$3</f>
        <v>-1.9282693176183248</v>
      </c>
      <c r="W78" s="2">
        <f>W65-$F$3</f>
        <v>-1.9587442760213731</v>
      </c>
      <c r="X78" s="2">
        <f>X65-$F$3</f>
        <v>-1.9821043276986714</v>
      </c>
      <c r="Y78" s="2">
        <f>Y65-$F$3</f>
        <v>-1.9958623994234275</v>
      </c>
      <c r="Z78" s="2">
        <f>Z65-$F$3</f>
        <v>-2</v>
      </c>
    </row>
    <row r="79" spans="1:26" s="24" customFormat="1" ht="12.75">
      <c r="A79" t="s">
        <v>75</v>
      </c>
      <c r="B79" s="31">
        <f>B67-$F$4</f>
        <v>2</v>
      </c>
      <c r="C79" s="31">
        <f>C67-$F$4</f>
        <v>2.201129672473436</v>
      </c>
      <c r="D79" s="31">
        <f>D67-$F$4</f>
        <v>2.3443934047511448</v>
      </c>
      <c r="E79" s="31">
        <f>E67-$F$4</f>
        <v>2.4165382418677566</v>
      </c>
      <c r="F79" s="31">
        <f>F67-$F$4</f>
        <v>2.411264704568995</v>
      </c>
      <c r="G79" s="31">
        <f>G67-$F$4</f>
        <v>2.329682629924336</v>
      </c>
      <c r="H79" s="31">
        <f>H67-$F$4</f>
        <v>2.1796105628519147</v>
      </c>
      <c r="I79" s="31">
        <f>I67-$F$4</f>
        <v>1.9742280265762457</v>
      </c>
      <c r="J79" s="31">
        <f>J67-$F$4</f>
        <v>1.730487808196092</v>
      </c>
      <c r="K79" s="31">
        <f>K67-$F$4</f>
        <v>1.4674726347478804</v>
      </c>
      <c r="L79" s="31">
        <f>L67-$F$4</f>
        <v>1.2047396524264062</v>
      </c>
      <c r="M79" s="31">
        <f>M67-$F$4</f>
        <v>0.960691826103925</v>
      </c>
      <c r="N79" s="2">
        <f>N67-$F$4</f>
        <v>0.7511063388867831</v>
      </c>
      <c r="O79" s="2">
        <f>O67-$F$4</f>
        <v>0.5880484763960647</v>
      </c>
      <c r="P79" s="2">
        <f>P67-$F$4</f>
        <v>0.47939950931288555</v>
      </c>
      <c r="Q79" s="2">
        <f>Q67-$F$4</f>
        <v>0.42906898879211663</v>
      </c>
      <c r="R79" s="2">
        <f>R67-$F$4</f>
        <v>0.43770999816367495</v>
      </c>
      <c r="S79" s="2">
        <f>S67-$F$4</f>
        <v>0.5035709908047308</v>
      </c>
      <c r="T79" s="2">
        <f>T67-$F$4</f>
        <v>0.6231101837121498</v>
      </c>
      <c r="U79" s="2">
        <f>U67-$F$4</f>
        <v>0.7911393538447355</v>
      </c>
      <c r="V79" s="2">
        <f>V67-$F$4</f>
        <v>1.000457973595648</v>
      </c>
      <c r="W79" s="2">
        <f>W67-$F$4</f>
        <v>1.241133673866226</v>
      </c>
      <c r="X79" s="2">
        <f>X67-$F$4</f>
        <v>1.4997808908773234</v>
      </c>
      <c r="Y79" s="2">
        <f>Y67-$F$4</f>
        <v>1.7593565119653423</v>
      </c>
      <c r="Z79" s="2">
        <f>Z67-$F$4</f>
        <v>2</v>
      </c>
    </row>
    <row r="80" spans="1:26" s="24" customFormat="1" ht="12.75">
      <c r="A80" t="s">
        <v>213</v>
      </c>
      <c r="B80" s="31">
        <f>POWER(B78,2)</f>
        <v>4</v>
      </c>
      <c r="C80" s="31">
        <f>POWER(C78,2)</f>
        <v>3.9884479247562186</v>
      </c>
      <c r="D80" s="31">
        <f>POWER(D78,2)</f>
        <v>3.9661636667536597</v>
      </c>
      <c r="E80" s="31">
        <f>POWER(E78,2)</f>
        <v>3.950537299950656</v>
      </c>
      <c r="F80" s="31">
        <f>POWER(F78,2)</f>
        <v>3.95177910583181</v>
      </c>
      <c r="G80" s="31">
        <f>POWER(G78,2)</f>
        <v>3.9689886329281534</v>
      </c>
      <c r="H80" s="31">
        <f>POWER(H78,2)</f>
        <v>3.99078666410786</v>
      </c>
      <c r="I80" s="31">
        <f>POWER(I78,2)</f>
        <v>3.9998102317179582</v>
      </c>
      <c r="J80" s="31">
        <f>POWER(J78,2)</f>
        <v>3.9792658644826946</v>
      </c>
      <c r="K80" s="31">
        <f>POWER(K78,2)</f>
        <v>3.9192695309369863</v>
      </c>
      <c r="L80" s="31">
        <f>POWER(L78,2)</f>
        <v>3.820770270316411</v>
      </c>
      <c r="M80" s="31">
        <f>POWER(M78,2)</f>
        <v>3.6956819558887997</v>
      </c>
      <c r="N80" s="2">
        <f>POWER(N78,2)</f>
        <v>3.563371093375199</v>
      </c>
      <c r="O80" s="2">
        <f>POWER(O78,2)</f>
        <v>3.445184551649766</v>
      </c>
      <c r="P80" s="2">
        <f>POWER(P78,2)</f>
        <v>3.3593216936220616</v>
      </c>
      <c r="Q80" s="2">
        <f>POWER(Q78,2)</f>
        <v>3.3176789424471074</v>
      </c>
      <c r="R80" s="2">
        <f>POWER(R78,2)</f>
        <v>3.3249111241999603</v>
      </c>
      <c r="S80" s="2">
        <f>POWER(S78,2)</f>
        <v>3.37890423609895</v>
      </c>
      <c r="T80" s="2">
        <f>POWER(T78,2)</f>
        <v>3.47169346902724</v>
      </c>
      <c r="U80" s="2">
        <f>POWER(U78,2)</f>
        <v>3.590373915941688</v>
      </c>
      <c r="V80" s="2">
        <f>POWER(V78,2)</f>
        <v>3.71822256126824</v>
      </c>
      <c r="W80" s="2">
        <f>POWER(W78,2)</f>
        <v>3.836679138846493</v>
      </c>
      <c r="X80" s="2">
        <f>POWER(X78,2)</f>
        <v>3.9287375658818022</v>
      </c>
      <c r="Y80" s="2">
        <f>POWER(Y78,2)</f>
        <v>3.983466717432241</v>
      </c>
      <c r="Z80" s="2">
        <f>POWER(Z78,2)</f>
        <v>4</v>
      </c>
    </row>
    <row r="81" spans="1:26" s="24" customFormat="1" ht="12.75">
      <c r="A81" t="s">
        <v>214</v>
      </c>
      <c r="B81" s="31">
        <f>POWER(B79,2)</f>
        <v>4</v>
      </c>
      <c r="C81" s="31">
        <f>POWER(C79,2)</f>
        <v>4.844971835043015</v>
      </c>
      <c r="D81" s="31">
        <f>POWER(D79,2)</f>
        <v>5.496180436240665</v>
      </c>
      <c r="E81" s="31">
        <f>POWER(E79,2)</f>
        <v>5.839657074409308</v>
      </c>
      <c r="F81" s="31">
        <f>POWER(F79,2)</f>
        <v>5.814197475500204</v>
      </c>
      <c r="G81" s="31">
        <f>POWER(G79,2)</f>
        <v>5.42742115617117</v>
      </c>
      <c r="H81" s="31">
        <f>POWER(H79,2)</f>
        <v>4.7507022056956405</v>
      </c>
      <c r="I81" s="31">
        <f>POWER(I79,2)</f>
        <v>3.8975763009191375</v>
      </c>
      <c r="J81" s="31">
        <f>POWER(J79,2)</f>
        <v>2.9945880543153143</v>
      </c>
      <c r="K81" s="31">
        <f>POWER(K79,2)</f>
        <v>2.153475933733886</v>
      </c>
      <c r="L81" s="31">
        <f>POWER(L79,2)</f>
        <v>1.451397630128498</v>
      </c>
      <c r="M81" s="31">
        <f>POWER(M79,2)</f>
        <v>0.9229287847428941</v>
      </c>
      <c r="N81" s="2">
        <f>POWER(N79,2)</f>
        <v>0.5641607323159071</v>
      </c>
      <c r="O81" s="2">
        <f>POWER(O79,2)</f>
        <v>0.34580101059173307</v>
      </c>
      <c r="P81" s="2">
        <f>POWER(P79,2)</f>
        <v>0.22982388952943544</v>
      </c>
      <c r="Q81" s="2">
        <f>POWER(Q79,2)</f>
        <v>0.1841001971430895</v>
      </c>
      <c r="R81" s="2">
        <f>POWER(R79,2)</f>
        <v>0.19159004249244432</v>
      </c>
      <c r="S81" s="2">
        <f>POWER(S79,2)</f>
        <v>0.25358374278005824</v>
      </c>
      <c r="T81" s="2">
        <f>POWER(T79,2)</f>
        <v>0.388266301045789</v>
      </c>
      <c r="U81" s="2">
        <f>POWER(U79,2)</f>
        <v>0.6259014772018657</v>
      </c>
      <c r="V81" s="2">
        <f>POWER(V79,2)</f>
        <v>1.0009161569311105</v>
      </c>
      <c r="W81" s="2">
        <f>POWER(W79,2)</f>
        <v>1.5404127964046754</v>
      </c>
      <c r="X81" s="2">
        <f>POWER(X79,2)</f>
        <v>2.2493427206407777</v>
      </c>
      <c r="Y81" s="2">
        <f>POWER(Y79,2)</f>
        <v>3.0953353361948555</v>
      </c>
      <c r="Z81" s="2">
        <f>POWER(Z79,2)</f>
        <v>4</v>
      </c>
    </row>
    <row r="82" spans="1:256" s="70" customFormat="1" ht="12.75">
      <c r="A82" t="s">
        <v>76</v>
      </c>
      <c r="B82" s="54">
        <f>(B69*B78-B68*B79)/(B80+B81)</f>
        <v>-0.21412945823914228</v>
      </c>
      <c r="C82" s="54">
        <f>(C69*C78-C68*C79)/(C80+C81)</f>
        <v>-0.1558388638283314</v>
      </c>
      <c r="D82" s="54">
        <f>(D69*D78-D68*D79)/(D80+D81)</f>
        <v>-0.09302624826284803</v>
      </c>
      <c r="E82" s="54">
        <f>(E69*E78-E68*E79)/(E80+E81)</f>
        <v>-0.02816115926821103</v>
      </c>
      <c r="F82" s="54">
        <f>(F69*F78-F68*F79)/(F80+F81)</f>
        <v>0.036827808207415894</v>
      </c>
      <c r="G82" s="54">
        <f>(G69*G78-G68*G79)/(G80+G81)</f>
        <v>0.10051440590600369</v>
      </c>
      <c r="H82" s="54">
        <f>(H69*H78-H68*H79)/(H80+H81)</f>
        <v>0.16178882143210385</v>
      </c>
      <c r="I82" s="54">
        <f>(I69*I78-I68*I79)/(I80+I81)</f>
        <v>0.21937932342973201</v>
      </c>
      <c r="J82" s="54">
        <f>(J69*J78-J68*J79)/(J80+J81)</f>
        <v>0.27104528443660436</v>
      </c>
      <c r="K82" s="54">
        <f>(K69*K78-K68*K79)/(K80+K81)</f>
        <v>0.31260410905934694</v>
      </c>
      <c r="L82" s="54">
        <f>(L69*L78-L68*L79)/(L80+L81)</f>
        <v>0.33736324781687227</v>
      </c>
      <c r="M82" s="54">
        <f>(M69*M78-M68*M79)/(M80+M81)</f>
        <v>0.33700983249531485</v>
      </c>
      <c r="N82" s="54">
        <f>(N69*N78-N68*N79)/(N80+N81)</f>
        <v>0.3047053556848674</v>
      </c>
      <c r="O82" s="54">
        <f>(O69*O78-O68*O79)/(O80+O81)</f>
        <v>0.23918144661101332</v>
      </c>
      <c r="P82" s="54">
        <f>(P69*P78-P68*P79)/(P80+P81)</f>
        <v>0.14667169750942208</v>
      </c>
      <c r="Q82" s="54">
        <f>(Q69*Q78-Q68*Q79)/(Q80+Q81)</f>
        <v>0.03894589216219973</v>
      </c>
      <c r="R82" s="54">
        <f>(R69*R78-R68*R79)/(R80+R81)</f>
        <v>-0.07057774007551121</v>
      </c>
      <c r="S82" s="54">
        <f>(S69*S78-S68*S79)/(S80+S81)</f>
        <v>-0.16975482164762104</v>
      </c>
      <c r="T82" s="54">
        <f>(T69*T78-T68*T79)/(T80+T81)</f>
        <v>-0.24906758770782883</v>
      </c>
      <c r="U82" s="54">
        <f>(U69*U78-U68*U79)/(U80+U81)</f>
        <v>-0.3023987159378323</v>
      </c>
      <c r="V82" s="54">
        <f>(V69*V78-V68*V79)/(V80+V81)</f>
        <v>-0.3276584919916426</v>
      </c>
      <c r="W82" s="54">
        <f>(W69*W78-W68*W79)/(W80+W81)</f>
        <v>-0.326676400465303</v>
      </c>
      <c r="X82" s="54">
        <f>(X69*X78-X68*X79)/(X80+X81)</f>
        <v>-0.30394267353346316</v>
      </c>
      <c r="Y82" s="54">
        <f>(Y69*Y78-Y68*Y79)/(Y80+Y81)</f>
        <v>-0.2648050637931605</v>
      </c>
      <c r="Z82" s="54">
        <f>(Z69*Z78-Z68*Z79)/(Z80+Z81)</f>
        <v>-0.21412945823914226</v>
      </c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</row>
    <row r="83" spans="1:256" s="70" customFormat="1" ht="12.75">
      <c r="A83" t="s">
        <v>217</v>
      </c>
      <c r="B83" s="54">
        <f>(B69*B78-B68*B79)*((COS(B77))^2)/B78^2</f>
        <v>-0.21412945823914234</v>
      </c>
      <c r="C83" s="54">
        <f>(C69*C78-C68*C79)*((COS(C77))^2)/C78^2</f>
        <v>-0.1558388638283314</v>
      </c>
      <c r="D83" s="54">
        <f>(D69*D78-D68*D79)*((COS(D77))^2)/D78^2</f>
        <v>-0.09302624826284804</v>
      </c>
      <c r="E83" s="54">
        <f>(E69*E78-E68*E79)*((COS(E77))^2)/E78^2</f>
        <v>-0.02816115926821102</v>
      </c>
      <c r="F83" s="54">
        <f>(F69*F78-F68*F79)*((COS(F77))^2)/F78^2</f>
        <v>0.036827808207415894</v>
      </c>
      <c r="G83" s="54">
        <f>(G69*G78-G68*G79)*((COS(G77))^2)/G78^2</f>
        <v>0.10051440590600368</v>
      </c>
      <c r="H83" s="54">
        <f>(H69*H78-H68*H79)*((COS(H77))^2)/H78^2</f>
        <v>0.1617888214321039</v>
      </c>
      <c r="I83" s="54">
        <f>(I69*I78-I68*I79)*((COS(I77))^2)/I78^2</f>
        <v>0.21937932342973196</v>
      </c>
      <c r="J83" s="54">
        <f>(J69*J78-J68*J79)*((COS(J77))^2)/J78^2</f>
        <v>0.2710452844366043</v>
      </c>
      <c r="K83" s="54">
        <f>(K69*K78-K68*K79)*((COS(K77))^2)/K78^2</f>
        <v>0.3126041090593469</v>
      </c>
      <c r="L83" s="54">
        <f>(L69*L78-L68*L79)*((COS(L77))^2)/L78^2</f>
        <v>0.33736324781687227</v>
      </c>
      <c r="M83" s="54">
        <f>(M69*M78-M68*M79)*((COS(M77))^2)/M78^2</f>
        <v>0.33700983249531485</v>
      </c>
      <c r="N83" s="54">
        <f>(N69*N78-N68*N79)*((COS(N77))^2)/N78^2</f>
        <v>0.30470535568486734</v>
      </c>
      <c r="O83" s="54">
        <f>(O69*O78-O68*O79)*((COS(O77))^2)/O78^2</f>
        <v>0.23918144661101332</v>
      </c>
      <c r="P83" s="54">
        <f>(P69*P78-P68*P79)*((COS(P77))^2)/P78^2</f>
        <v>0.14667169750942208</v>
      </c>
      <c r="Q83" s="54">
        <f>(Q69*Q78-Q68*Q79)*((COS(Q77))^2)/Q78^2</f>
        <v>0.03894589216219973</v>
      </c>
      <c r="R83" s="54">
        <f>(R69*R78-R68*R79)*((COS(R77))^2)/R78^2</f>
        <v>-0.0705777400755112</v>
      </c>
      <c r="S83" s="54">
        <f>(S69*S78-S68*S79)*((COS(S77))^2)/S78^2</f>
        <v>-0.16975482164762104</v>
      </c>
      <c r="T83" s="54">
        <f>(T69*T78-T68*T79)*((COS(T77))^2)/T78^2</f>
        <v>-0.24906758770782883</v>
      </c>
      <c r="U83" s="54">
        <f>(U69*U78-U68*U79)*((COS(U77))^2)/U78^2</f>
        <v>-0.3023987159378323</v>
      </c>
      <c r="V83" s="54">
        <f>(V69*V78-V68*V79)*((COS(V77))^2)/V78^2</f>
        <v>-0.3276584919916426</v>
      </c>
      <c r="W83" s="54">
        <f>(W69*W78-W68*W79)*((COS(W77))^2)/W78^2</f>
        <v>-0.32667640046530305</v>
      </c>
      <c r="X83" s="54">
        <f>(X69*X78-X68*X79)*((COS(X77))^2)/X78^2</f>
        <v>-0.3039426735334631</v>
      </c>
      <c r="Y83" s="54">
        <f>(Y69*Y78-Y68*Y79)*((COS(Y77))^2)/Y78^2</f>
        <v>-0.26480506379316054</v>
      </c>
      <c r="Z83" s="54">
        <f>(Z69*Z78-Z68*Z79)*((COS(Z77))^2)/Z78^2</f>
        <v>-0.2141294582391423</v>
      </c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  <c r="IV83" s="69"/>
    </row>
    <row r="84" spans="1:256" s="70" customFormat="1" ht="12.75">
      <c r="A84" t="s">
        <v>215</v>
      </c>
      <c r="B84" s="54">
        <f aca="true" t="shared" si="32" ref="B84:Y84">(C77-B77)/$B$2*B20</f>
        <v>-0.1854790657341618</v>
      </c>
      <c r="C84" s="54">
        <f t="shared" si="32"/>
        <v>-0.12469801560266597</v>
      </c>
      <c r="D84" s="54">
        <f t="shared" si="32"/>
        <v>-0.060676255933116735</v>
      </c>
      <c r="E84" s="54">
        <f t="shared" si="32"/>
        <v>0.0043894396449564175</v>
      </c>
      <c r="F84" s="54">
        <f t="shared" si="32"/>
        <v>0.06882812962700006</v>
      </c>
      <c r="G84" s="54">
        <f t="shared" si="32"/>
        <v>0.13139795201575552</v>
      </c>
      <c r="H84" s="54">
        <f t="shared" si="32"/>
        <v>0.19096218248995134</v>
      </c>
      <c r="I84" s="54">
        <f t="shared" si="32"/>
        <v>0.2458436013540799</v>
      </c>
      <c r="J84" s="54">
        <f t="shared" si="32"/>
        <v>0.29290774636534056</v>
      </c>
      <c r="K84" s="54">
        <f t="shared" si="32"/>
        <v>0.32672194238608904</v>
      </c>
      <c r="L84" s="54">
        <f t="shared" si="32"/>
        <v>0.3396192305139313</v>
      </c>
      <c r="M84" s="54">
        <f t="shared" si="32"/>
        <v>0.3236850045724167</v>
      </c>
      <c r="N84" s="54">
        <f t="shared" si="32"/>
        <v>0.27456301839410385</v>
      </c>
      <c r="O84" s="54">
        <f t="shared" si="32"/>
        <v>0.1947403568293398</v>
      </c>
      <c r="P84" s="54">
        <f t="shared" si="32"/>
        <v>0.0935146495811156</v>
      </c>
      <c r="Q84" s="54">
        <f t="shared" si="32"/>
        <v>-0.016205542673936185</v>
      </c>
      <c r="R84" s="54">
        <f t="shared" si="32"/>
        <v>-0.12147133654273996</v>
      </c>
      <c r="S84" s="54">
        <f t="shared" si="32"/>
        <v>-0.21137917194676673</v>
      </c>
      <c r="T84" s="54">
        <f t="shared" si="32"/>
        <v>-0.2780496782623827</v>
      </c>
      <c r="U84" s="54">
        <f t="shared" si="32"/>
        <v>-0.31734528846953686</v>
      </c>
      <c r="V84" s="54">
        <f t="shared" si="32"/>
        <v>-0.329194027173464</v>
      </c>
      <c r="W84" s="54">
        <f t="shared" si="32"/>
        <v>-0.3168994800523089</v>
      </c>
      <c r="X84" s="54">
        <f t="shared" si="32"/>
        <v>-0.28552459422077164</v>
      </c>
      <c r="Y84" s="54">
        <f t="shared" si="32"/>
        <v>-0.24025079716222866</v>
      </c>
      <c r="Z84" s="39">
        <f>Y84</f>
        <v>-0.24025079716222866</v>
      </c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  <c r="IV84" s="69"/>
    </row>
    <row r="85" spans="1:256" s="70" customFormat="1" ht="12.75">
      <c r="A85" t="s">
        <v>203</v>
      </c>
      <c r="B85" s="39">
        <f aca="true" t="shared" si="33" ref="B85:Y85">(C82-B82)/$B$2*B20</f>
        <v>0.22265366966988864</v>
      </c>
      <c r="C85" s="39">
        <f t="shared" si="33"/>
        <v>0.23992651813866256</v>
      </c>
      <c r="D85" s="39">
        <f t="shared" si="33"/>
        <v>0.2477663891422123</v>
      </c>
      <c r="E85" s="39">
        <f t="shared" si="33"/>
        <v>0.24823957008442657</v>
      </c>
      <c r="F85" s="39">
        <f t="shared" si="33"/>
        <v>0.24326488397844417</v>
      </c>
      <c r="G85" s="39">
        <f t="shared" si="33"/>
        <v>0.2340510267850949</v>
      </c>
      <c r="H85" s="39">
        <f t="shared" si="33"/>
        <v>0.2199795136335887</v>
      </c>
      <c r="I85" s="39">
        <f t="shared" si="33"/>
        <v>0.19734943401208446</v>
      </c>
      <c r="J85" s="39">
        <f t="shared" si="33"/>
        <v>0.15874301682716768</v>
      </c>
      <c r="K85" s="39">
        <f t="shared" si="33"/>
        <v>0.09457294367899885</v>
      </c>
      <c r="L85" s="39">
        <f t="shared" si="33"/>
        <v>-0.0013499470893665842</v>
      </c>
      <c r="M85" s="39">
        <f t="shared" si="33"/>
        <v>-0.12339401204112524</v>
      </c>
      <c r="N85" s="39">
        <f t="shared" si="33"/>
        <v>-0.25028289647538654</v>
      </c>
      <c r="O85" s="39">
        <f t="shared" si="33"/>
        <v>-0.35336121248902247</v>
      </c>
      <c r="P85" s="39">
        <f t="shared" si="33"/>
        <v>-0.41148226606957844</v>
      </c>
      <c r="Q85" s="39">
        <f t="shared" si="33"/>
        <v>-0.41834945894425346</v>
      </c>
      <c r="R85" s="39">
        <f t="shared" si="33"/>
        <v>-0.3788285465671057</v>
      </c>
      <c r="S85" s="39">
        <f t="shared" si="33"/>
        <v>-0.3029524504505563</v>
      </c>
      <c r="T85" s="39">
        <f t="shared" si="33"/>
        <v>-0.20370990428334662</v>
      </c>
      <c r="U85" s="39">
        <f t="shared" si="33"/>
        <v>-0.09648523728859679</v>
      </c>
      <c r="V85" s="39">
        <f t="shared" si="33"/>
        <v>0.003751313303654685</v>
      </c>
      <c r="W85" s="39">
        <f t="shared" si="33"/>
        <v>0.08683644038648779</v>
      </c>
      <c r="X85" s="39">
        <f t="shared" si="33"/>
        <v>0.14949465722329633</v>
      </c>
      <c r="Y85" s="39">
        <f t="shared" si="33"/>
        <v>0.19356655483433058</v>
      </c>
      <c r="Z85" s="39">
        <f>Y85</f>
        <v>0.19356655483433058</v>
      </c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</row>
    <row r="86" spans="1:256" s="70" customFormat="1" ht="12.75">
      <c r="A86" s="53" t="s">
        <v>218</v>
      </c>
      <c r="B86" s="39">
        <f>(B71*B78-B70*B79)/(B80+B81)</f>
        <v>0.11860926379662101</v>
      </c>
      <c r="C86" s="39">
        <f>(C71*C78-C70*C79)/(C80+C81)</f>
        <v>0.1825050692502421</v>
      </c>
      <c r="D86" s="39">
        <f>(D71*D78-D70*D79)/(D80+D81)</f>
        <v>0.22679178734185323</v>
      </c>
      <c r="E86" s="39">
        <f>(E71*E78-E70*E79)/(E80+E81)</f>
        <v>0.2473518152340748</v>
      </c>
      <c r="F86" s="39">
        <f>(F71*F78-F70*F79)/(F80+F81)</f>
        <v>0.243597872591557</v>
      </c>
      <c r="G86" s="39">
        <f>(G71*G78-G70*G79)/(G80+G81)</f>
        <v>0.21784215025705905</v>
      </c>
      <c r="H86" s="39">
        <f>(H71*H78-H70*H79)/(H80+H81)</f>
        <v>0.17375616078300715</v>
      </c>
      <c r="I86" s="39">
        <f>(I71*I78-I70*I79)/(I80+I81)</f>
        <v>0.11486907882302853</v>
      </c>
      <c r="J86" s="39">
        <f>(J71*J78-J70*J79)/(J80+J81)</f>
        <v>0.043768237761949165</v>
      </c>
      <c r="K86" s="39">
        <f>(K71*K78-K70*K79)/(K80+K81)</f>
        <v>-0.037678839738551746</v>
      </c>
      <c r="L86" s="39">
        <f>(L71*L78-L70*L79)/(L80+L81)</f>
        <v>-0.12697218600249613</v>
      </c>
      <c r="M86" s="39">
        <f>(M71*M78-M70*M79)/(M80+M81)</f>
        <v>-0.21890519838396397</v>
      </c>
      <c r="N86" s="39">
        <f>(N71*N78-N70*N79)/(N80+N81)</f>
        <v>-0.3043458011096324</v>
      </c>
      <c r="O86" s="39">
        <f>(O71*O78-O70*O79)/(O80+O81)</f>
        <v>-0.37200717469136396</v>
      </c>
      <c r="P86" s="39">
        <f>(P71*P78-P70*P79)/(P80+P81)</f>
        <v>-0.4130443196576434</v>
      </c>
      <c r="Q86" s="39">
        <f>(Q71*Q78-Q70*Q79)/(Q80+Q81)</f>
        <v>-0.42479893099313815</v>
      </c>
      <c r="R86" s="39">
        <f>(R71*R78-R70*R79)/(R80+R81)</f>
        <v>-0.4105342752750927</v>
      </c>
      <c r="S86" s="39">
        <f>(S71*S78-S70*S79)/(S80+S81)</f>
        <v>-0.3761751751611911</v>
      </c>
      <c r="T86" s="39">
        <f>(T71*T78-T70*T79)/(T80+T81)</f>
        <v>-0.3271554699374948</v>
      </c>
      <c r="U86" s="39">
        <f>(U71*U78-U70*U79)/(U80+U81)</f>
        <v>-0.2670826392189782</v>
      </c>
      <c r="V86" s="39">
        <f>(V71*V78-V70*V79)/(V80+V81)</f>
        <v>-0.19803345408627457</v>
      </c>
      <c r="W86" s="39">
        <f>(W71*W78-W70*W79)/(W80+W81)</f>
        <v>-0.12163332813065644</v>
      </c>
      <c r="X86" s="39">
        <f>(X71*X78-X70*X79)/(X80+X81)</f>
        <v>-0.040280731439549904</v>
      </c>
      <c r="Y86" s="39">
        <f>(Y71*Y78-Y70*Y79)/(Y80+Y81)</f>
        <v>0.04187025567931257</v>
      </c>
      <c r="Z86" s="39">
        <f>(Z71*Z78-Z70*Z79)/(Z80+Z81)</f>
        <v>0.11860926379662101</v>
      </c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  <c r="IV86" s="64"/>
    </row>
    <row r="87" spans="1:256" s="70" customFormat="1" ht="12.75">
      <c r="A87" s="53" t="s">
        <v>219</v>
      </c>
      <c r="B87" s="39">
        <f>-2*(B69*B78-B68*B79)*(B78*B68+B79*B69)/(B80+B81)^2</f>
        <v>0.09170284977157715</v>
      </c>
      <c r="C87" s="39">
        <f>-2*(C69*C78-C68*C79)*(C78*C68+C79*C69)/(C80+C81)^2</f>
        <v>0.05053622818365088</v>
      </c>
      <c r="D87" s="39">
        <f>-2*(D69*D78-D68*D79)*(D78*D68+D79*D69)/(D80+D81)^2</f>
        <v>0.01845193875974223</v>
      </c>
      <c r="E87" s="39">
        <f>-2*(E69*E78-E68*E79)*(E78*E68+E79*E69)/(E80+E81)^2</f>
        <v>0.0017099208160716948</v>
      </c>
      <c r="F87" s="39">
        <f>-2*(F69*F78-F68*F79)*(F78*F68+F79*F69)/(F80+F81)^2</f>
        <v>0.002922019413257278</v>
      </c>
      <c r="G87" s="39">
        <f>-2*(G69*G78-G68*G79)*(G78*G68+G79*G69)/(G80+G81)^2</f>
        <v>0.021491228301914612</v>
      </c>
      <c r="H87" s="39">
        <f>-2*(H69*H78-H68*H79)*(H78*H68+H79*H69)/(H80+H81)^2</f>
        <v>0.05425538807411168</v>
      </c>
      <c r="I87" s="39">
        <f>-2*(I69*I78-I68*I79)*(I78*I68+I79*I69)/(I80+I81)^2</f>
        <v>0.09571875594139055</v>
      </c>
      <c r="J87" s="39">
        <f>-2*(J69*J78-J68*J79)*(J78*J68+J79*J69)/(J80+J81)^2</f>
        <v>0.13772681294441383</v>
      </c>
      <c r="K87" s="39">
        <f>-2*(K69*K78-K68*K79)*(K78*K68+K79*K69)/(K80+K81)^2</f>
        <v>0.1693626852779148</v>
      </c>
      <c r="L87" s="39">
        <f>-2*(L69*L78-L68*L79)*(L78*L68+L79*L69)/(L80+L81)^2</f>
        <v>0.17893526165294896</v>
      </c>
      <c r="M87" s="39">
        <f>-2*(M69*M78-M68*M79)*(M78*M68+M79*M69)/(M80+M81)^2</f>
        <v>0.15959227295778503</v>
      </c>
      <c r="N87" s="39">
        <f>-2*(N69*N78-N68*N79)*(N78*N68+N79*N69)/(N80+N81)^2</f>
        <v>0.11591903315853945</v>
      </c>
      <c r="O87" s="39">
        <f>-2*(O69*O78-O68*O79)*(O78*O68+O79*O69)/(O80+O81)^2</f>
        <v>0.06398620843481538</v>
      </c>
      <c r="P87" s="39">
        <f>-2*(P69*P78-P68*P79)*(P78*P68+P79*P69)/(P80+P81)^2</f>
        <v>0.02211595201542779</v>
      </c>
      <c r="Q87" s="39">
        <f>-2*(Q69*Q78-Q68*Q79)*(Q78*Q68+Q79*Q69)/(Q80+Q81)^2</f>
        <v>0.0014942711720599422</v>
      </c>
      <c r="R87" s="39">
        <f>-2*(R69*R78-R68*R79)*(R78*R68+R79*R69)/(R80+R81)^2</f>
        <v>0.004944185229329689</v>
      </c>
      <c r="S87" s="39">
        <f>-2*(S69*S78-S68*S79)*(S78*S68+S79*S69)/(S80+S81)^2</f>
        <v>0.030212105947506618</v>
      </c>
      <c r="T87" s="39">
        <f>-2*(T69*T78-T68*T79)*(T78*T68+T79*T69)/(T80+T81)^2</f>
        <v>0.07115587663523362</v>
      </c>
      <c r="U87" s="39">
        <f>-2*(U69*U78-U68*U79)*(U78*U68+U79*U69)/(U80+U81)^2</f>
        <v>0.1169913508004749</v>
      </c>
      <c r="V87" s="39">
        <f>-2*(V69*V78-V68*V79)*(V78*V68+V79*V69)/(V80+V81)^2</f>
        <v>0.1539025470071581</v>
      </c>
      <c r="W87" s="39">
        <f>-2*(W69*W78-W68*W79)*(W78*W68+W79*W69)/(W80+W81)^2</f>
        <v>0.17028234820672933</v>
      </c>
      <c r="X87" s="39">
        <f>-2*(X69*X78-X68*X79)*(X78*X68+X79*X69)/(X80+X81)^2</f>
        <v>0.16181103369757419</v>
      </c>
      <c r="Y87" s="39">
        <f>-2*(Y69*Y78-Y68*Y79)*(Y78*Y68+Y79*Y69)/(Y80+Y81)^2</f>
        <v>0.13246555790769496</v>
      </c>
      <c r="Z87" s="39">
        <f>-2*(Z69*Z78-Z68*Z79)*(Z78*Z68+Z79*Z69)/(Z80+Z81)^2</f>
        <v>0.09170284977157714</v>
      </c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  <c r="IT87" s="64"/>
      <c r="IU87" s="64"/>
      <c r="IV87" s="64"/>
    </row>
    <row r="88" spans="1:256" s="70" customFormat="1" ht="12.75">
      <c r="A88" s="53" t="s">
        <v>77</v>
      </c>
      <c r="B88" s="39">
        <f>B86+B87</f>
        <v>0.21031211356819818</v>
      </c>
      <c r="C88" s="39">
        <f>C86+C87</f>
        <v>0.23304129743389299</v>
      </c>
      <c r="D88" s="39">
        <f>D86+D87</f>
        <v>0.24524372610159545</v>
      </c>
      <c r="E88" s="39">
        <f>E86+E87</f>
        <v>0.24906173605014648</v>
      </c>
      <c r="F88" s="39">
        <f>F86+F87</f>
        <v>0.24651989200481428</v>
      </c>
      <c r="G88" s="39">
        <f>G86+G87</f>
        <v>0.23933337855897366</v>
      </c>
      <c r="H88" s="39">
        <f>H86+H87</f>
        <v>0.22801154885711883</v>
      </c>
      <c r="I88" s="39">
        <f>I86+I87</f>
        <v>0.21058783476441909</v>
      </c>
      <c r="J88" s="39">
        <f>J86+J87</f>
        <v>0.181495050706363</v>
      </c>
      <c r="K88" s="39">
        <f>K86+K87</f>
        <v>0.13168384553936305</v>
      </c>
      <c r="L88" s="39">
        <f>L86+L87</f>
        <v>0.05196307565045283</v>
      </c>
      <c r="M88" s="39">
        <f>M86+M87</f>
        <v>-0.05931292542617894</v>
      </c>
      <c r="N88" s="39">
        <f>N86+N87</f>
        <v>-0.18842676795109292</v>
      </c>
      <c r="O88" s="39">
        <f>O86+O87</f>
        <v>-0.30802096625654857</v>
      </c>
      <c r="P88" s="39">
        <f>P86+P87</f>
        <v>-0.3909283676422156</v>
      </c>
      <c r="Q88" s="39">
        <f>Q86+Q87</f>
        <v>-0.4233046598210782</v>
      </c>
      <c r="R88" s="39">
        <f>R86+R87</f>
        <v>-0.40559009004576296</v>
      </c>
      <c r="S88" s="39">
        <f>S86+S87</f>
        <v>-0.34596306921368447</v>
      </c>
      <c r="T88" s="39">
        <f>T86+T87</f>
        <v>-0.2559995933022612</v>
      </c>
      <c r="U88" s="39">
        <f>U86+U87</f>
        <v>-0.15009128841850328</v>
      </c>
      <c r="V88" s="39">
        <f>V86+V87</f>
        <v>-0.04413090707911646</v>
      </c>
      <c r="W88" s="39">
        <f>W86+W87</f>
        <v>0.048649020076072885</v>
      </c>
      <c r="X88" s="39">
        <f>X86+X87</f>
        <v>0.12153030225802428</v>
      </c>
      <c r="Y88" s="39">
        <f>Y86+Y87</f>
        <v>0.17433581358700753</v>
      </c>
      <c r="Z88" s="39">
        <f>Z86+Z87</f>
        <v>0.21031211356819815</v>
      </c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  <c r="IH88" s="64"/>
      <c r="II88" s="64"/>
      <c r="IJ88" s="64"/>
      <c r="IK88" s="64"/>
      <c r="IL88" s="64"/>
      <c r="IM88" s="64"/>
      <c r="IN88" s="64"/>
      <c r="IO88" s="64"/>
      <c r="IP88" s="64"/>
      <c r="IQ88" s="64"/>
      <c r="IR88" s="64"/>
      <c r="IS88" s="64"/>
      <c r="IT88" s="64"/>
      <c r="IU88" s="64"/>
      <c r="IV88" s="64"/>
    </row>
    <row r="89" spans="1:256" s="70" customFormat="1" ht="12.75">
      <c r="A89" s="53" t="s">
        <v>220</v>
      </c>
      <c r="B89" s="54">
        <f>B86+B87</f>
        <v>0.21031211356819818</v>
      </c>
      <c r="C89" s="54">
        <f>C86+C87</f>
        <v>0.23304129743389299</v>
      </c>
      <c r="D89" s="54">
        <f>D86+D87</f>
        <v>0.24524372610159545</v>
      </c>
      <c r="E89" s="54">
        <f>E86+E87</f>
        <v>0.24906173605014648</v>
      </c>
      <c r="F89" s="54">
        <f>F86+F87</f>
        <v>0.24651989200481428</v>
      </c>
      <c r="G89" s="54">
        <f>G86+G87</f>
        <v>0.23933337855897366</v>
      </c>
      <c r="H89" s="54">
        <f>H86+H87</f>
        <v>0.22801154885711883</v>
      </c>
      <c r="I89" s="54">
        <f>I86+I87</f>
        <v>0.21058783476441909</v>
      </c>
      <c r="J89" s="54">
        <f>J86+J87</f>
        <v>0.181495050706363</v>
      </c>
      <c r="K89" s="54">
        <f>K86+K87</f>
        <v>0.13168384553936305</v>
      </c>
      <c r="L89" s="54">
        <f>L86+L87</f>
        <v>0.05196307565045283</v>
      </c>
      <c r="M89" s="54">
        <f>M86+M87</f>
        <v>-0.05931292542617894</v>
      </c>
      <c r="N89" s="54">
        <f>N86+N87</f>
        <v>-0.18842676795109292</v>
      </c>
      <c r="O89" s="54">
        <f>O86+O87</f>
        <v>-0.30802096625654857</v>
      </c>
      <c r="P89" s="54">
        <f>P86+P87</f>
        <v>-0.3909283676422156</v>
      </c>
      <c r="Q89" s="54">
        <f>Q86+Q87</f>
        <v>-0.4233046598210782</v>
      </c>
      <c r="R89" s="54">
        <f>R86+R87</f>
        <v>-0.40559009004576296</v>
      </c>
      <c r="S89" s="54">
        <f>S86+S87</f>
        <v>-0.34596306921368447</v>
      </c>
      <c r="T89" s="54">
        <f>T86+T87</f>
        <v>-0.2559995933022612</v>
      </c>
      <c r="U89" s="54">
        <f>U86+U87</f>
        <v>-0.15009128841850328</v>
      </c>
      <c r="V89" s="54">
        <f>V86+V87</f>
        <v>-0.04413090707911646</v>
      </c>
      <c r="W89" s="54">
        <f>W86+W87</f>
        <v>0.048649020076072885</v>
      </c>
      <c r="X89" s="54">
        <f>X86+X87</f>
        <v>0.12153030225802428</v>
      </c>
      <c r="Y89" s="54">
        <f>Y86+Y87</f>
        <v>0.17433581358700753</v>
      </c>
      <c r="Z89" s="54">
        <f>Z86+Z87</f>
        <v>0.21031211356819815</v>
      </c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/>
      <c r="IM89" s="69"/>
      <c r="IN89" s="69"/>
      <c r="IO89" s="69"/>
      <c r="IP89" s="69"/>
      <c r="IQ89" s="69"/>
      <c r="IR89" s="69"/>
      <c r="IS89" s="69"/>
      <c r="IT89" s="69"/>
      <c r="IU89" s="69"/>
      <c r="IV89" s="69"/>
    </row>
    <row r="90" spans="1:26" s="66" customFormat="1" ht="12.75">
      <c r="A90" s="16"/>
      <c r="B90" s="41"/>
      <c r="C90" s="41"/>
      <c r="D90" s="37" t="s">
        <v>122</v>
      </c>
      <c r="E90" s="37"/>
      <c r="F90" s="37"/>
      <c r="G90" s="37"/>
      <c r="H90" s="37"/>
      <c r="I90" s="37"/>
      <c r="J90" s="37"/>
      <c r="K90" s="37"/>
      <c r="L90" s="37"/>
      <c r="M90" s="37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56" s="66" customFormat="1" ht="12.75">
      <c r="A91" t="s">
        <v>123</v>
      </c>
      <c r="B91" s="31">
        <f>B65+($I$8-$D$10)*COS(B77-$B$77)-($I$9-$D$11)*SIN(B77-$B$77)</f>
        <v>-0.5355339059327378</v>
      </c>
      <c r="C91" s="31">
        <f>C65+($I$8-$D$10)*COS(C77-$B$77)-($I$9-$D$11)*SIN(C77-$B$77)</f>
        <v>-0.35686430689999954</v>
      </c>
      <c r="D91" s="31">
        <f>D65+($I$8-$D$10)*COS(D77-$B$77)-($I$9-$D$11)*SIN(D77-$B$77)</f>
        <v>-0.22862172741983522</v>
      </c>
      <c r="E91" s="31">
        <f>E65+($I$8-$D$10)*COS(E77-$B$77)-($I$9-$D$11)*SIN(E77-$B$77)</f>
        <v>-0.16375628684115562</v>
      </c>
      <c r="F91" s="31">
        <f>F65+($I$8-$D$10)*COS(F77-$B$77)-($I$9-$D$11)*SIN(F77-$B$77)</f>
        <v>-0.16850412832772188</v>
      </c>
      <c r="G91" s="31">
        <f>G65+($I$8-$D$10)*COS(G77-$B$77)-($I$9-$D$11)*SIN(G77-$B$77)</f>
        <v>-0.24182497598001906</v>
      </c>
      <c r="H91" s="31">
        <f>H65+($I$8-$D$10)*COS(H77-$B$77)-($I$9-$D$11)*SIN(H77-$B$77)</f>
        <v>-0.37606023607482925</v>
      </c>
      <c r="I91" s="31">
        <f>I65+($I$8-$D$10)*COS(I77-$B$77)-($I$9-$D$11)*SIN(I77-$B$77)</f>
        <v>-0.5582971276002819</v>
      </c>
      <c r="J91" s="31">
        <f>J65+($I$8-$D$10)*COS(J77-$B$77)-($I$9-$D$11)*SIN(J77-$B$77)</f>
        <v>-0.7717060202553967</v>
      </c>
      <c r="K91" s="31">
        <f>K65+($I$8-$D$10)*COS(K77-$B$77)-($I$9-$D$11)*SIN(K77-$B$77)</f>
        <v>-0.9965128650870423</v>
      </c>
      <c r="L91" s="31">
        <f>L65+($I$8-$D$10)*COS(L77-$B$77)-($I$9-$D$11)*SIN(L77-$B$77)</f>
        <v>-1.211161558968202</v>
      </c>
      <c r="M91" s="31">
        <f>M65+($I$8-$D$10)*COS(M77-$B$77)-($I$9-$D$11)*SIN(M77-$B$77)</f>
        <v>-1.3950317122506668</v>
      </c>
      <c r="N91" s="2">
        <f>N65+($I$8-$D$10)*COS(N77-$B$77)-($I$9-$D$11)*SIN(N77-$B$77)</f>
        <v>-1.533433787939093</v>
      </c>
      <c r="O91" s="2">
        <f>O65+($I$8-$D$10)*COS(O77-$B$77)-($I$9-$D$11)*SIN(O77-$B$77)</f>
        <v>-1.6226272804814383</v>
      </c>
      <c r="P91" s="2">
        <f>P65+($I$8-$D$10)*COS(P77-$B$77)-($I$9-$D$11)*SIN(P77-$B$77)</f>
        <v>-1.670114525869951</v>
      </c>
      <c r="Q91" s="2">
        <f>Q65+($I$8-$D$10)*COS(Q77-$B$77)-($I$9-$D$11)*SIN(Q77-$B$77)</f>
        <v>-1.688241920917769</v>
      </c>
      <c r="R91" s="2">
        <f>R65+($I$8-$D$10)*COS(R77-$B$77)-($I$9-$D$11)*SIN(R77-$B$77)</f>
        <v>-1.6853184326762443</v>
      </c>
      <c r="S91" s="2">
        <f>S65+($I$8-$D$10)*COS(S77-$B$77)-($I$9-$D$11)*SIN(S77-$B$77)</f>
        <v>-1.6604976792518527</v>
      </c>
      <c r="T91" s="2">
        <f>T65+($I$8-$D$10)*COS(T77-$B$77)-($I$9-$D$11)*SIN(T77-$B$77)</f>
        <v>-1.6051143615164578</v>
      </c>
      <c r="U91" s="2">
        <f>U65+($I$8-$D$10)*COS(U77-$B$77)-($I$9-$D$11)*SIN(U77-$B$77)</f>
        <v>-1.508804503026711</v>
      </c>
      <c r="V91" s="2">
        <f>V65+($I$8-$D$10)*COS(V77-$B$77)-($I$9-$D$11)*SIN(V77-$B$77)</f>
        <v>-1.3664637414412864</v>
      </c>
      <c r="W91" s="2">
        <f>W65+($I$8-$D$10)*COS(W77-$B$77)-($I$9-$D$11)*SIN(W77-$B$77)</f>
        <v>-1.1822590113971754</v>
      </c>
      <c r="X91" s="2">
        <f>X65+($I$8-$D$10)*COS(X77-$B$77)-($I$9-$D$11)*SIN(X77-$B$77)</f>
        <v>-0.9693201146141467</v>
      </c>
      <c r="Y91" s="2">
        <f>Y65+($I$8-$D$10)*COS(Y77-$B$77)-($I$9-$D$11)*SIN(Y77-$B$77)</f>
        <v>-0.7466348433606563</v>
      </c>
      <c r="Z91" s="2">
        <f>Z65+($I$8-$D$10)*COS(Z77-$B$77)-($I$9-$D$11)*SIN(Z77-$B$77)</f>
        <v>-0.5355339059327378</v>
      </c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</row>
    <row r="92" spans="1:256" s="66" customFormat="1" ht="12.75">
      <c r="A92" t="s">
        <v>124</v>
      </c>
      <c r="B92" s="31">
        <f>B67+($I$8-$D$10)*SIN(B77-$B$77)+($I$9-$D$11)*COS(B77-$B$77)</f>
        <v>5.535533905932738</v>
      </c>
      <c r="C92" s="31">
        <f>C67+($I$8-$D$10)*SIN(C77-$B$77)+($I$9-$D$11)*COS(C77-$B$77)</f>
        <v>5.904108240915734</v>
      </c>
      <c r="D92" s="31">
        <f>D67+($I$8-$D$10)*SIN(D77-$B$77)+($I$9-$D$11)*COS(D77-$B$77)</f>
        <v>6.155061524069904</v>
      </c>
      <c r="E92" s="31">
        <f>E67+($I$8-$D$10)*SIN(E77-$B$77)+($I$9-$D$11)*COS(E77-$B$77)</f>
        <v>6.278144764882775</v>
      </c>
      <c r="F92" s="31">
        <f>F67+($I$8-$D$10)*SIN(F77-$B$77)+($I$9-$D$11)*COS(F77-$B$77)</f>
        <v>6.269218785611137</v>
      </c>
      <c r="G92" s="31">
        <f>G67+($I$8-$D$10)*SIN(G77-$B$77)+($I$9-$D$11)*COS(G77-$B$77)</f>
        <v>6.129701835835084</v>
      </c>
      <c r="H92" s="31">
        <f>H67+($I$8-$D$10)*SIN(H77-$B$77)+($I$9-$D$11)*COS(H77-$B$77)</f>
        <v>5.865617971490662</v>
      </c>
      <c r="I92" s="31">
        <f>I67+($I$8-$D$10)*SIN(I77-$B$77)+($I$9-$D$11)*COS(I77-$B$77)</f>
        <v>5.486803138867771</v>
      </c>
      <c r="J92" s="31">
        <f>J67+($I$8-$D$10)*SIN(J77-$B$77)+($I$9-$D$11)*COS(J77-$B$77)</f>
        <v>5.006927098526377</v>
      </c>
      <c r="K92" s="31">
        <f>K67+($I$8-$D$10)*SIN(K77-$B$77)+($I$9-$D$11)*COS(K77-$B$77)</f>
        <v>4.44494319781652</v>
      </c>
      <c r="L92" s="31">
        <f>L67+($I$8-$D$10)*SIN(L77-$B$77)+($I$9-$D$11)*COS(L77-$B$77)</f>
        <v>3.82816428999286</v>
      </c>
      <c r="M92" s="31">
        <f>M67+($I$8-$D$10)*SIN(M77-$B$77)+($I$9-$D$11)*COS(M77-$B$77)</f>
        <v>3.195799344044308</v>
      </c>
      <c r="N92" s="2">
        <f>N67+($I$8-$D$10)*SIN(N77-$B$77)+($I$9-$D$11)*COS(N77-$B$77)</f>
        <v>2.59963511742897</v>
      </c>
      <c r="O92" s="2">
        <f>O67+($I$8-$D$10)*SIN(O77-$B$77)+($I$9-$D$11)*COS(O77-$B$77)</f>
        <v>2.098153207478497</v>
      </c>
      <c r="P92" s="2">
        <f>P67+($I$8-$D$10)*SIN(P77-$B$77)+($I$9-$D$11)*COS(P77-$B$77)</f>
        <v>1.744637000189012</v>
      </c>
      <c r="Q92" s="2">
        <f>Q67+($I$8-$D$10)*SIN(Q77-$B$77)+($I$9-$D$11)*COS(Q77-$B$77)</f>
        <v>1.5755127505640758</v>
      </c>
      <c r="R92" s="2">
        <f>R67+($I$8-$D$10)*SIN(R77-$B$77)+($I$9-$D$11)*COS(R77-$B$77)</f>
        <v>1.6047912385635261</v>
      </c>
      <c r="S92" s="2">
        <f>S67+($I$8-$D$10)*SIN(S77-$B$77)+($I$9-$D$11)*COS(S77-$B$77)</f>
        <v>1.8246494621368239</v>
      </c>
      <c r="T92" s="2">
        <f>T67+($I$8-$D$10)*SIN(T77-$B$77)+($I$9-$D$11)*COS(T77-$B$77)</f>
        <v>2.2088921121266543</v>
      </c>
      <c r="U92" s="2">
        <f>U67+($I$8-$D$10)*SIN(U77-$B$77)+($I$9-$D$11)*COS(U77-$B$77)</f>
        <v>2.7175927520941396</v>
      </c>
      <c r="V92" s="2">
        <f>V67+($I$8-$D$10)*SIN(V77-$B$77)+($I$9-$D$11)*COS(V77-$B$77)</f>
        <v>3.3031586176974326</v>
      </c>
      <c r="W92" s="2">
        <f>W67+($I$8-$D$10)*SIN(W77-$B$77)+($I$9-$D$11)*COS(W77-$B$77)</f>
        <v>3.917310663540764</v>
      </c>
      <c r="X92" s="2">
        <f>X67+($I$8-$D$10)*SIN(X77-$B$77)+($I$9-$D$11)*COS(X77-$B$77)</f>
        <v>4.516751270011332</v>
      </c>
      <c r="Y92" s="2">
        <f>Y67+($I$8-$D$10)*SIN(Y77-$B$77)+($I$9-$D$11)*COS(Y77-$B$77)</f>
        <v>5.065669575454817</v>
      </c>
      <c r="Z92" s="2">
        <f>Z67+($I$8-$D$10)*SIN(Z77-$B$77)+($I$9-$D$11)*COS(Z77-$B$77)</f>
        <v>5.535533905932738</v>
      </c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</row>
    <row r="93" spans="1:256" s="66" customFormat="1" ht="12.75">
      <c r="A93" t="s">
        <v>201</v>
      </c>
      <c r="B93" s="40">
        <f>POWER(B67-B92,2)</f>
        <v>12.500000000000002</v>
      </c>
      <c r="C93" s="40">
        <f>POWER(C67-C92,2)</f>
        <v>13.712050278342973</v>
      </c>
      <c r="D93" s="40">
        <f>POWER(D67-D92,2)</f>
        <v>14.521191515592369</v>
      </c>
      <c r="E93" s="40">
        <f>POWER(E67-E92,2)</f>
        <v>14.91200493859214</v>
      </c>
      <c r="F93" s="40">
        <f>POWER(F67-F92,2)</f>
        <v>14.88380969142972</v>
      </c>
      <c r="G93" s="40">
        <f>POWER(G67-G92,2)</f>
        <v>14.44014596529055</v>
      </c>
      <c r="H93" s="40">
        <f>POWER(H67-H92,2)</f>
        <v>13.586650616539737</v>
      </c>
      <c r="I93" s="40">
        <f>POWER(I67-I92,2)</f>
        <v>12.338183919489818</v>
      </c>
      <c r="J93" s="40">
        <f>POWER(J67-J92,2)</f>
        <v>10.735054423220024</v>
      </c>
      <c r="K93" s="40">
        <f>POWER(K67-K92,2)</f>
        <v>8.865330953940282</v>
      </c>
      <c r="L93" s="40">
        <f>POWER(L67-L92,2)</f>
        <v>6.882356828990679</v>
      </c>
      <c r="M93" s="40">
        <f>POWER(M67-M92,2)</f>
        <v>4.995705616753621</v>
      </c>
      <c r="N93" s="40">
        <f>POWER(N67-N92,2)</f>
        <v>3.4170586450986686</v>
      </c>
      <c r="O93" s="40">
        <f>POWER(O67-O92,2)</f>
        <v>2.280416298837545</v>
      </c>
      <c r="P93" s="40">
        <f>POWER(P67-P92,2)</f>
        <v>1.600825908318516</v>
      </c>
      <c r="Q93" s="40">
        <f>POWER(Q67-Q92,2)</f>
        <v>1.3143332989058407</v>
      </c>
      <c r="R93" s="40">
        <f>POWER(R67-R92,2)</f>
        <v>1.3620786216932552</v>
      </c>
      <c r="S93" s="40">
        <f>POWER(S67-S92,2)</f>
        <v>1.74524832741714</v>
      </c>
      <c r="T93" s="40">
        <f>POWER(T67-T92,2)</f>
        <v>2.5147043244860248</v>
      </c>
      <c r="U93" s="40">
        <f>POWER(U67-U92,2)</f>
        <v>3.711222695626677</v>
      </c>
      <c r="V93" s="40">
        <f>POWER(V67-V92,2)</f>
        <v>5.302430256346773</v>
      </c>
      <c r="W93" s="40">
        <f>POWER(W67-W92,2)</f>
        <v>7.161923280063474</v>
      </c>
      <c r="X93" s="40">
        <f>POWER(X67-X92,2)</f>
        <v>9.102110268572002</v>
      </c>
      <c r="Y93" s="40">
        <f>POWER(Y67-Y92,2)</f>
        <v>10.931706073801154</v>
      </c>
      <c r="Z93" s="40">
        <f>POWER(Z67-Z92,2)</f>
        <v>12.500000000000002</v>
      </c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/>
      <c r="FU93" s="67"/>
      <c r="FV93" s="67"/>
      <c r="FW93" s="67"/>
      <c r="FX93" s="67"/>
      <c r="FY93" s="67"/>
      <c r="FZ93" s="67"/>
      <c r="GA93" s="67"/>
      <c r="GB93" s="67"/>
      <c r="GC93" s="67"/>
      <c r="GD93" s="67"/>
      <c r="GE93" s="67"/>
      <c r="GF93" s="67"/>
      <c r="GG93" s="67"/>
      <c r="GH93" s="67"/>
      <c r="GI93" s="67"/>
      <c r="GJ93" s="67"/>
      <c r="GK93" s="67"/>
      <c r="GL93" s="67"/>
      <c r="GM93" s="67"/>
      <c r="GN93" s="67"/>
      <c r="GO93" s="67"/>
      <c r="GP93" s="67"/>
      <c r="GQ93" s="67"/>
      <c r="GR93" s="67"/>
      <c r="GS93" s="67"/>
      <c r="GT93" s="67"/>
      <c r="GU93" s="67"/>
      <c r="GV93" s="67"/>
      <c r="GW93" s="67"/>
      <c r="GX93" s="67"/>
      <c r="GY93" s="67"/>
      <c r="GZ93" s="67"/>
      <c r="HA93" s="67"/>
      <c r="HB93" s="67"/>
      <c r="HC93" s="67"/>
      <c r="HD93" s="67"/>
      <c r="HE93" s="67"/>
      <c r="HF93" s="67"/>
      <c r="HG93" s="67"/>
      <c r="HH93" s="67"/>
      <c r="HI93" s="67"/>
      <c r="HJ93" s="67"/>
      <c r="HK93" s="67"/>
      <c r="HL93" s="67"/>
      <c r="HM93" s="67"/>
      <c r="HN93" s="67"/>
      <c r="HO93" s="67"/>
      <c r="HP93" s="67"/>
      <c r="HQ93" s="67"/>
      <c r="HR93" s="67"/>
      <c r="HS93" s="67"/>
      <c r="HT93" s="67"/>
      <c r="HU93" s="67"/>
      <c r="HV93" s="67"/>
      <c r="HW93" s="67"/>
      <c r="HX93" s="67"/>
      <c r="HY93" s="67"/>
      <c r="HZ93" s="67"/>
      <c r="IA93" s="67"/>
      <c r="IB93" s="67"/>
      <c r="IC93" s="67"/>
      <c r="ID93" s="67"/>
      <c r="IE93" s="67"/>
      <c r="IF93" s="67"/>
      <c r="IG93" s="67"/>
      <c r="IH93" s="67"/>
      <c r="II93" s="67"/>
      <c r="IJ93" s="67"/>
      <c r="IK93" s="67"/>
      <c r="IL93" s="67"/>
      <c r="IM93" s="67"/>
      <c r="IN93" s="67"/>
      <c r="IO93" s="67"/>
      <c r="IP93" s="67"/>
      <c r="IQ93" s="67"/>
      <c r="IR93" s="67"/>
      <c r="IS93" s="67"/>
      <c r="IT93" s="67"/>
      <c r="IU93" s="67"/>
      <c r="IV93" s="67"/>
    </row>
    <row r="94" spans="1:256" s="66" customFormat="1" ht="12.75">
      <c r="A94" t="s">
        <v>201</v>
      </c>
      <c r="B94" s="40">
        <f>POWER(B65-B91,2)</f>
        <v>12.500000000000002</v>
      </c>
      <c r="C94" s="40">
        <f>POWER(C65-C91,2)</f>
        <v>11.287949721657027</v>
      </c>
      <c r="D94" s="40">
        <f>POWER(D65-D91,2)</f>
        <v>10.478808484407637</v>
      </c>
      <c r="E94" s="40">
        <f>POWER(E65-E91,2)</f>
        <v>10.087995061407863</v>
      </c>
      <c r="F94" s="40">
        <f>POWER(F65-F91,2)</f>
        <v>10.116190308570282</v>
      </c>
      <c r="G94" s="40">
        <f>POWER(G65-G91,2)</f>
        <v>10.559854034709446</v>
      </c>
      <c r="H94" s="40">
        <f>POWER(H65-H91,2)</f>
        <v>11.413349383460261</v>
      </c>
      <c r="I94" s="40">
        <f>POWER(I65-I91,2)</f>
        <v>12.661816080510183</v>
      </c>
      <c r="J94" s="40">
        <f>POWER(J65-J91,2)</f>
        <v>14.264945576779978</v>
      </c>
      <c r="K94" s="40">
        <f>POWER(K65-K91,2)</f>
        <v>16.134669046059717</v>
      </c>
      <c r="L94" s="40">
        <f>POWER(L65-L91,2)</f>
        <v>18.117643171009323</v>
      </c>
      <c r="M94" s="40">
        <f>POWER(M65-M91,2)</f>
        <v>20.00429438324638</v>
      </c>
      <c r="N94" s="40">
        <f>POWER(N65-N91,2)</f>
        <v>21.582941354901337</v>
      </c>
      <c r="O94" s="40">
        <f>POWER(O65-O91,2)</f>
        <v>22.71958370116246</v>
      </c>
      <c r="P94" s="40">
        <f>POWER(P65-P91,2)</f>
        <v>23.399174091681484</v>
      </c>
      <c r="Q94" s="40">
        <f>POWER(Q65-Q91,2)</f>
        <v>23.685666701094167</v>
      </c>
      <c r="R94" s="40">
        <f>POWER(R65-R91,2)</f>
        <v>23.637921378306753</v>
      </c>
      <c r="S94" s="40">
        <f>POWER(S65-S91,2)</f>
        <v>23.25475167258286</v>
      </c>
      <c r="T94" s="40">
        <f>POWER(T65-T91,2)</f>
        <v>22.485295675513978</v>
      </c>
      <c r="U94" s="40">
        <f>POWER(U65-U91,2)</f>
        <v>21.288777304373323</v>
      </c>
      <c r="V94" s="40">
        <f>POWER(V65-V91,2)</f>
        <v>19.697569743653233</v>
      </c>
      <c r="W94" s="40">
        <f>POWER(W65-W91,2)</f>
        <v>17.838076719936538</v>
      </c>
      <c r="X94" s="40">
        <f>POWER(X65-X91,2)</f>
        <v>15.897889731427993</v>
      </c>
      <c r="Y94" s="40">
        <f>POWER(Y65-Y91,2)</f>
        <v>14.068293926198852</v>
      </c>
      <c r="Z94" s="40">
        <f>POWER(Z65-Z91,2)</f>
        <v>12.500000000000002</v>
      </c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67"/>
      <c r="GO94" s="67"/>
      <c r="GP94" s="67"/>
      <c r="GQ94" s="67"/>
      <c r="GR94" s="67"/>
      <c r="GS94" s="67"/>
      <c r="GT94" s="67"/>
      <c r="GU94" s="67"/>
      <c r="GV94" s="67"/>
      <c r="GW94" s="67"/>
      <c r="GX94" s="67"/>
      <c r="GY94" s="67"/>
      <c r="GZ94" s="67"/>
      <c r="HA94" s="67"/>
      <c r="HB94" s="67"/>
      <c r="HC94" s="67"/>
      <c r="HD94" s="67"/>
      <c r="HE94" s="67"/>
      <c r="HF94" s="67"/>
      <c r="HG94" s="67"/>
      <c r="HH94" s="67"/>
      <c r="HI94" s="67"/>
      <c r="HJ94" s="67"/>
      <c r="HK94" s="67"/>
      <c r="HL94" s="67"/>
      <c r="HM94" s="67"/>
      <c r="HN94" s="67"/>
      <c r="HO94" s="67"/>
      <c r="HP94" s="67"/>
      <c r="HQ94" s="67"/>
      <c r="HR94" s="67"/>
      <c r="HS94" s="67"/>
      <c r="HT94" s="67"/>
      <c r="HU94" s="67"/>
      <c r="HV94" s="67"/>
      <c r="HW94" s="67"/>
      <c r="HX94" s="67"/>
      <c r="HY94" s="67"/>
      <c r="HZ94" s="67"/>
      <c r="IA94" s="67"/>
      <c r="IB94" s="67"/>
      <c r="IC94" s="67"/>
      <c r="ID94" s="67"/>
      <c r="IE94" s="67"/>
      <c r="IF94" s="67"/>
      <c r="IG94" s="67"/>
      <c r="IH94" s="67"/>
      <c r="II94" s="67"/>
      <c r="IJ94" s="67"/>
      <c r="IK94" s="67"/>
      <c r="IL94" s="67"/>
      <c r="IM94" s="67"/>
      <c r="IN94" s="67"/>
      <c r="IO94" s="67"/>
      <c r="IP94" s="67"/>
      <c r="IQ94" s="67"/>
      <c r="IR94" s="67"/>
      <c r="IS94" s="67"/>
      <c r="IT94" s="67"/>
      <c r="IU94" s="67"/>
      <c r="IV94" s="67"/>
    </row>
    <row r="95" spans="1:256" s="66" customFormat="1" ht="12.75">
      <c r="A95" t="s">
        <v>202</v>
      </c>
      <c r="B95" s="40">
        <f>SQRT(B93+B94)</f>
        <v>5</v>
      </c>
      <c r="C95" s="40">
        <f>SQRT(C93+C94)</f>
        <v>5</v>
      </c>
      <c r="D95" s="40">
        <f>SQRT(D93+D94)</f>
        <v>5.000000000000001</v>
      </c>
      <c r="E95" s="40">
        <f>SQRT(E93+E94)</f>
        <v>5</v>
      </c>
      <c r="F95" s="40">
        <f>SQRT(F93+F94)</f>
        <v>5</v>
      </c>
      <c r="G95" s="40">
        <f>SQRT(G93+G94)</f>
        <v>5</v>
      </c>
      <c r="H95" s="40">
        <f>SQRT(H93+H94)</f>
        <v>5</v>
      </c>
      <c r="I95" s="40">
        <f>SQRT(I93+I94)</f>
        <v>5</v>
      </c>
      <c r="J95" s="40">
        <f>SQRT(J93+J94)</f>
        <v>5</v>
      </c>
      <c r="K95" s="40">
        <f>SQRT(K93+K94)</f>
        <v>5</v>
      </c>
      <c r="L95" s="40">
        <f>SQRT(L93+L94)</f>
        <v>5</v>
      </c>
      <c r="M95" s="40">
        <f>SQRT(M93+M94)</f>
        <v>5</v>
      </c>
      <c r="N95" s="40">
        <f>SQRT(N93+N94)</f>
        <v>5.000000000000001</v>
      </c>
      <c r="O95" s="40">
        <f>SQRT(O93+O94)</f>
        <v>5</v>
      </c>
      <c r="P95" s="40">
        <f>SQRT(P93+P94)</f>
        <v>5</v>
      </c>
      <c r="Q95" s="40">
        <f>SQRT(Q93+Q94)</f>
        <v>5.000000000000001</v>
      </c>
      <c r="R95" s="40">
        <f>SQRT(R93+R94)</f>
        <v>5.000000000000001</v>
      </c>
      <c r="S95" s="40">
        <f>SQRT(S93+S94)</f>
        <v>5</v>
      </c>
      <c r="T95" s="40">
        <f>SQRT(T93+T94)</f>
        <v>5</v>
      </c>
      <c r="U95" s="40">
        <f>SQRT(U93+U94)</f>
        <v>5</v>
      </c>
      <c r="V95" s="40">
        <f>SQRT(V93+V94)</f>
        <v>5.000000000000001</v>
      </c>
      <c r="W95" s="40">
        <f>SQRT(W93+W94)</f>
        <v>5.000000000000001</v>
      </c>
      <c r="X95" s="40">
        <f>SQRT(X93+X94)</f>
        <v>4.999999999999999</v>
      </c>
      <c r="Y95" s="40">
        <f>SQRT(Y93+Y94)</f>
        <v>5.000000000000001</v>
      </c>
      <c r="Z95" s="40">
        <f>SQRT(Z93+Z94)</f>
        <v>5</v>
      </c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67"/>
      <c r="GR95" s="67"/>
      <c r="GS95" s="67"/>
      <c r="GT95" s="67"/>
      <c r="GU95" s="67"/>
      <c r="GV95" s="67"/>
      <c r="GW95" s="67"/>
      <c r="GX95" s="67"/>
      <c r="GY95" s="67"/>
      <c r="GZ95" s="67"/>
      <c r="HA95" s="67"/>
      <c r="HB95" s="67"/>
      <c r="HC95" s="67"/>
      <c r="HD95" s="67"/>
      <c r="HE95" s="67"/>
      <c r="HF95" s="67"/>
      <c r="HG95" s="67"/>
      <c r="HH95" s="67"/>
      <c r="HI95" s="67"/>
      <c r="HJ95" s="67"/>
      <c r="HK95" s="67"/>
      <c r="HL95" s="67"/>
      <c r="HM95" s="67"/>
      <c r="HN95" s="67"/>
      <c r="HO95" s="67"/>
      <c r="HP95" s="67"/>
      <c r="HQ95" s="67"/>
      <c r="HR95" s="67"/>
      <c r="HS95" s="67"/>
      <c r="HT95" s="67"/>
      <c r="HU95" s="67"/>
      <c r="HV95" s="67"/>
      <c r="HW95" s="67"/>
      <c r="HX95" s="67"/>
      <c r="HY95" s="67"/>
      <c r="HZ95" s="67"/>
      <c r="IA95" s="67"/>
      <c r="IB95" s="67"/>
      <c r="IC95" s="67"/>
      <c r="ID95" s="67"/>
      <c r="IE95" s="67"/>
      <c r="IF95" s="67"/>
      <c r="IG95" s="67"/>
      <c r="IH95" s="67"/>
      <c r="II95" s="67"/>
      <c r="IJ95" s="67"/>
      <c r="IK95" s="67"/>
      <c r="IL95" s="67"/>
      <c r="IM95" s="67"/>
      <c r="IN95" s="67"/>
      <c r="IO95" s="67"/>
      <c r="IP95" s="67"/>
      <c r="IQ95" s="67"/>
      <c r="IR95" s="67"/>
      <c r="IS95" s="67"/>
      <c r="IT95" s="67"/>
      <c r="IU95" s="67"/>
      <c r="IV95" s="67"/>
    </row>
    <row r="96" spans="1:26" s="66" customFormat="1" ht="12.75">
      <c r="A96" t="s">
        <v>125</v>
      </c>
      <c r="B96" s="34">
        <f>B68-B82*(B92-B67)</f>
        <v>0.7570619598634958</v>
      </c>
      <c r="C96" s="34">
        <f>C68-C82*(C92-C67)</f>
        <v>0.5962729869340082</v>
      </c>
      <c r="D96" s="34">
        <f>D68-D82*(D92-D67)</f>
        <v>0.375071040080008</v>
      </c>
      <c r="E96" s="34">
        <f>E68-E82*(E92-E67)</f>
        <v>0.11645729863476514</v>
      </c>
      <c r="F96" s="34">
        <f>F68-F82*(F92-F67)</f>
        <v>-0.15201853892983416</v>
      </c>
      <c r="G96" s="34">
        <f>G68-G82*(G92-G67)</f>
        <v>-0.40314135872947915</v>
      </c>
      <c r="H96" s="34">
        <f>H68-H82*(H92-H67)</f>
        <v>-0.6140308976155576</v>
      </c>
      <c r="I96" s="34">
        <f>I68-I82*(I92-I67)</f>
        <v>-0.7673852958785194</v>
      </c>
      <c r="J96" s="34">
        <f>J68-J82*(J92-J67)</f>
        <v>-0.8502905382196867</v>
      </c>
      <c r="K96" s="34">
        <f>K68-K82*(K92-K67)</f>
        <v>-0.8532225468662586</v>
      </c>
      <c r="L96" s="34">
        <f>L68-L82*(L92-L67)</f>
        <v>-0.7731074362807269</v>
      </c>
      <c r="M96" s="34">
        <f>M68-M82*(M92-M67)</f>
        <v>-0.6218322215208199</v>
      </c>
      <c r="N96" s="3">
        <f>N68-N82*(N92-N67)</f>
        <v>-0.43305599121172533</v>
      </c>
      <c r="O96" s="3">
        <f>O68-O82*(O92-O67)</f>
        <v>-0.25356309170740554</v>
      </c>
      <c r="P96" s="3">
        <f>P68-P82*(P92-P67)</f>
        <v>-0.11770570963835483</v>
      </c>
      <c r="Q96" s="3">
        <f>Q68-Q82*(Q92-Q67)</f>
        <v>-0.026417171668295887</v>
      </c>
      <c r="R96" s="3">
        <f>R68-R82*(R92-R67)</f>
        <v>0.04939399580254238</v>
      </c>
      <c r="S96" s="3">
        <f>S68-S82*(S92-S67)</f>
        <v>0.146168082668996</v>
      </c>
      <c r="T96" s="3">
        <f>T68-T82*(T92-T67)</f>
        <v>0.28400866258007484</v>
      </c>
      <c r="U96" s="3">
        <f>U68-U82*(U92-U67)</f>
        <v>0.4552630728674699</v>
      </c>
      <c r="V96" s="3">
        <f>V68-V82*(V92-V67)</f>
        <v>0.6294499401029241</v>
      </c>
      <c r="W96" s="3">
        <f>W68-W82*(W92-W67)</f>
        <v>0.7691884013139667</v>
      </c>
      <c r="X96" s="3">
        <f>X68-X82*(X92-X67)</f>
        <v>0.8452235188832941</v>
      </c>
      <c r="Y96" s="3">
        <f>Y68-Y82*(Y92-Y67)</f>
        <v>0.8422118385351212</v>
      </c>
      <c r="Z96" s="3">
        <f>Z68-Z82*(Z92-Z67)</f>
        <v>0.7570619598634957</v>
      </c>
    </row>
    <row r="97" spans="1:256" s="24" customFormat="1" ht="12.75">
      <c r="A97" t="s">
        <v>126</v>
      </c>
      <c r="B97" s="31">
        <f>B69+B82*(B91-B65)</f>
        <v>1.6135797928200648</v>
      </c>
      <c r="C97" s="31">
        <f>C69+C82*(C91-C65)</f>
        <v>1.191704472160894</v>
      </c>
      <c r="D97" s="31">
        <f>D69+D82*(D91-D65)</f>
        <v>0.7189065773848033</v>
      </c>
      <c r="E97" s="31">
        <f>E69+E82*(E91-E65)</f>
        <v>0.21878240126798648</v>
      </c>
      <c r="F97" s="31">
        <f>F69+F82*(F91-F65)</f>
        <v>-0.2860028596293456</v>
      </c>
      <c r="G97" s="31">
        <f>G69+G82*(G91-G65)</f>
        <v>-0.7759364629840679</v>
      </c>
      <c r="H97" s="31">
        <f>H69+H82*(H91-H65)</f>
        <v>-1.2352493285325825</v>
      </c>
      <c r="I97" s="31">
        <f>I69+I82*(I91-I65)</f>
        <v>-1.6500693128454622</v>
      </c>
      <c r="J97" s="31">
        <f>J69+J82*(J91-J65)</f>
        <v>-2.004051912699356</v>
      </c>
      <c r="K97" s="31">
        <f>K69+K82*(K91-K65)</f>
        <v>-2.2720582966110925</v>
      </c>
      <c r="L97" s="31">
        <f>L69+L82*(L91-L65)</f>
        <v>-2.414910655013594</v>
      </c>
      <c r="M97" s="31">
        <f>M69+M82*(M91-M65)</f>
        <v>-2.3826581788363823</v>
      </c>
      <c r="N97" s="31">
        <f>N69+N82*(N91-N65)</f>
        <v>-2.1336439272605574</v>
      </c>
      <c r="O97" s="31">
        <f>O69+O82*(O91-O65)</f>
        <v>-1.6626674142799556</v>
      </c>
      <c r="P97" s="31">
        <f>P69+P82*(P91-P65)</f>
        <v>-1.0144602458270975</v>
      </c>
      <c r="Q97" s="31">
        <f>Q69+Q82*(Q91-Q65)</f>
        <v>-0.26871078154536243</v>
      </c>
      <c r="R97" s="31">
        <f>R69+R82*(R91-R65)</f>
        <v>0.4871661246085124</v>
      </c>
      <c r="S97" s="31">
        <f>S69+S82*(S91-S65)</f>
        <v>1.1754631066586412</v>
      </c>
      <c r="T97" s="31">
        <f>T69+T82*(T91-T65)</f>
        <v>1.7341277714135448</v>
      </c>
      <c r="U97" s="31">
        <f>U69+U82*(U91-U65)</f>
        <v>2.121291251479338</v>
      </c>
      <c r="V97" s="31">
        <f>V69+V82*(V91-V65)</f>
        <v>2.320985530020821</v>
      </c>
      <c r="W97" s="31">
        <f>W69+W82*(W91-W65)</f>
        <v>2.3430729049969354</v>
      </c>
      <c r="X97" s="31">
        <f>X69+X82*(X91-X65)</f>
        <v>2.2135529375524623</v>
      </c>
      <c r="Y97" s="31">
        <f>Y69+Y82*(Y91-Y65)</f>
        <v>1.9617865057008448</v>
      </c>
      <c r="Z97" s="31">
        <f>Z69+Z82*(Z91-Z65)</f>
        <v>1.6135797928200648</v>
      </c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</row>
    <row r="98" spans="1:256" s="24" customFormat="1" ht="12.75">
      <c r="A98" t="s">
        <v>127</v>
      </c>
      <c r="B98" s="31">
        <f>B70-B89*(B92-B67)-B82*(B97-B69)</f>
        <v>-0.4766530841479051</v>
      </c>
      <c r="C98" s="31">
        <f>C70-C89*(C92-C67)-C82*(C97-C69)</f>
        <v>-0.7419556870765591</v>
      </c>
      <c r="D98" s="31">
        <f>D70-D89*(D92-D67)-D82*(D97-D69)</f>
        <v>-0.9330463648399128</v>
      </c>
      <c r="E98" s="31">
        <f>E70-E89*(E92-E67)-E82*(E97-E69)</f>
        <v>-1.024739570697226</v>
      </c>
      <c r="F98" s="31">
        <f>F70-F89*(F92-F67)-F82*(F97-F69)</f>
        <v>-1.008665096982329</v>
      </c>
      <c r="G98" s="31">
        <f>G70-G89*(G92-G67)-G82*(G97-G69)</f>
        <v>-0.8951297727640036</v>
      </c>
      <c r="H98" s="31">
        <f>H70-H89*(H92-H67)-H82*(H97-H69)</f>
        <v>-0.7050336871013454</v>
      </c>
      <c r="I98" s="31">
        <f>I70-I89*(I92-I67)-I82*(I97-I69)</f>
        <v>-0.4583899653582423</v>
      </c>
      <c r="J98" s="31">
        <f>J70-J89*(J92-J67)-J82*(J97-J69)</f>
        <v>-0.16872623407151616</v>
      </c>
      <c r="K98" s="31">
        <f>K70-K89*(K92-K67)-K82*(K97-K69)</f>
        <v>0.14888824245800591</v>
      </c>
      <c r="L98" s="31">
        <f>L70-L89*(L92-L67)-L82*(L97-L69)</f>
        <v>0.45617420435680495</v>
      </c>
      <c r="M98" s="31">
        <f>M70-M89*(M92-M67)-M82*(M97-M69)</f>
        <v>0.6775493933370292</v>
      </c>
      <c r="N98" s="31">
        <f>N70-N89*(N92-N67)-N82*(N97-N69)</f>
        <v>0.7329344675573346</v>
      </c>
      <c r="O98" s="31">
        <f>O70-O89*(O92-O67)-O82*(O97-O69)</f>
        <v>0.6148543974458887</v>
      </c>
      <c r="P98" s="31">
        <f>P70-P89*(P92-P67)-P82*(P97-P69)</f>
        <v>0.4227217778720855</v>
      </c>
      <c r="Q98" s="31">
        <f>Q70-Q89*(Q92-Q67)-Q82*(Q97-Q69)</f>
        <v>0.294834831282221</v>
      </c>
      <c r="R98" s="31">
        <f>R70-R89*(R92-R67)-R82*(R97-R69)</f>
        <v>0.3091466459588639</v>
      </c>
      <c r="S98" s="31">
        <f>S70-S89*(S92-S67)-S82*(S97-S69)</f>
        <v>0.44371651000999635</v>
      </c>
      <c r="T98" s="31">
        <f>T70-T89*(T92-T67)-T82*(T97-T69)</f>
        <v>0.6040726702683294</v>
      </c>
      <c r="U98" s="31">
        <f>U70-U89*(U92-U67)-U82*(U97-U69)</f>
        <v>0.6836670982239119</v>
      </c>
      <c r="V98" s="31">
        <f>V70-V89*(V92-V67)-V82*(V97-V69)</f>
        <v>0.6221791655899935</v>
      </c>
      <c r="W98" s="31">
        <f>W70-W89*(W92-W67)-W82*(W97-W69)</f>
        <v>0.4263803558560826</v>
      </c>
      <c r="X98" s="31">
        <f>X70-X89*(X92-X67)-X82*(X97-X69)</f>
        <v>0.14489754730019447</v>
      </c>
      <c r="Y98" s="31">
        <f>Y70-Y89*(Y92-Y67)-Y82*(Y97-Y69)</f>
        <v>-0.16967784447768325</v>
      </c>
      <c r="Z98" s="31">
        <f>Z70-Z89*(Z92-Z67)-Z82*(Z97-Z69)</f>
        <v>-0.4766530841479051</v>
      </c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</row>
    <row r="99" spans="1:256" s="24" customFormat="1" ht="12.75">
      <c r="A99" t="s">
        <v>128</v>
      </c>
      <c r="B99" s="31">
        <f>B71+B89*(B91-B65)+B82*(B96-B68)</f>
        <v>-1.4849151877360613</v>
      </c>
      <c r="C99" s="31">
        <f>C71+C89*(C91-C65)+C82*(C96-C68)</f>
        <v>-1.7235513802254152</v>
      </c>
      <c r="D99" s="31">
        <f>D71+D89*(D91-D65)+D82*(D96-D68)</f>
        <v>-1.8731975570356827</v>
      </c>
      <c r="E99" s="31">
        <f>E71+E89*(E91-E65)+E82*(E96-E68)</f>
        <v>-1.9328788369208412</v>
      </c>
      <c r="F99" s="31">
        <f>F71+F89*(F91-F65)+F82*(F96-F68)</f>
        <v>-1.9109308850447428</v>
      </c>
      <c r="G99" s="31">
        <f>G71+G89*(G91-G65)+G82*(G96-G68)</f>
        <v>-1.821964611427683</v>
      </c>
      <c r="H99" s="31">
        <f>H71+H89*(H91-H65)+H82*(H96-H68)</f>
        <v>-1.6783762570811729</v>
      </c>
      <c r="I99" s="31">
        <f>I71+I89*(I91-I65)+I82*(I96-I68)</f>
        <v>-1.480634776245934</v>
      </c>
      <c r="J99" s="31">
        <f>J71+J89*(J91-J65)+J82*(J96-J68)</f>
        <v>-1.207995052197382</v>
      </c>
      <c r="K99" s="31">
        <f>K71+K89*(K91-K65)+K82*(K96-K68)</f>
        <v>-0.8143669390331167</v>
      </c>
      <c r="L99" s="31">
        <f>L71+L89*(L91-L65)+L82*(L96-L68)</f>
        <v>-0.24388648263598706</v>
      </c>
      <c r="M99" s="31">
        <f>M71+M89*(M91-M65)+M82*(M96-M68)</f>
        <v>0.5188614588096394</v>
      </c>
      <c r="N99" s="31">
        <f>N71+N89*(N91-N65)+N82*(N96-N68)</f>
        <v>1.387810584555862</v>
      </c>
      <c r="O99" s="31">
        <f>O71+O89*(O91-O65)+O82*(O96-O68)</f>
        <v>2.180549616779782</v>
      </c>
      <c r="P99" s="31">
        <f>P71+P89*(P91-P65)+P82*(P96-P68)</f>
        <v>2.718669493550205</v>
      </c>
      <c r="Q99" s="31">
        <f>Q71+Q89*(Q91-Q65)+Q82*(Q96-Q68)</f>
        <v>2.9216872652192674</v>
      </c>
      <c r="R99" s="31">
        <f>R71+R89*(R91-R65)+R82*(R96-R68)</f>
        <v>2.8030676697151433</v>
      </c>
      <c r="S99" s="31">
        <f>S71+S89*(S91-S65)+S82*(S96-S68)</f>
        <v>2.4153674446061975</v>
      </c>
      <c r="T99" s="31">
        <f>T71+T89*(T91-T65)+T82*(T96-T68)</f>
        <v>1.8254074765580746</v>
      </c>
      <c r="U99" s="31">
        <f>U71+U89*(U91-U65)+U82*(U96-U68)</f>
        <v>1.1220927980896998</v>
      </c>
      <c r="V99" s="31">
        <f>V71+V89*(V91-V65)+V82*(V96-V68)</f>
        <v>0.4104322165420652</v>
      </c>
      <c r="W99" s="31">
        <f>W71+W89*(W91-W65)+W82*(W96-W68)</f>
        <v>-0.2242312751065973</v>
      </c>
      <c r="X99" s="31">
        <f>X71+X89*(X91-X65)+X82*(X96-X68)</f>
        <v>-0.7460858758608</v>
      </c>
      <c r="Y99" s="31">
        <f>Y71+Y89*(Y91-Y65)+Y82*(Y96-Y68)</f>
        <v>-1.1609309078745156</v>
      </c>
      <c r="Z99" s="31">
        <f>Z71+Z89*(Z91-Z65)+Z82*(Z96-Z68)</f>
        <v>-1.4849151877360613</v>
      </c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</row>
    <row r="100" spans="1:26" s="62" customFormat="1" ht="12.75">
      <c r="A100" s="5"/>
      <c r="B100" s="58" t="s">
        <v>78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42"/>
      <c r="M100" s="4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s="62" customFormat="1" ht="12.75">
      <c r="A101" s="11"/>
      <c r="B101" s="43"/>
      <c r="C101" s="43"/>
      <c r="D101" s="59" t="s">
        <v>57</v>
      </c>
      <c r="E101" s="59"/>
      <c r="F101" s="59"/>
      <c r="G101" s="59"/>
      <c r="H101" s="59"/>
      <c r="I101" s="59"/>
      <c r="J101" s="59"/>
      <c r="K101" s="59"/>
      <c r="L101" s="32"/>
      <c r="M101" s="3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s="24" customFormat="1" ht="12.75">
      <c r="A102" t="s">
        <v>79</v>
      </c>
      <c r="B102" s="31">
        <f>$I$3*B17-$K$3*B16</f>
        <v>1</v>
      </c>
      <c r="C102" s="31">
        <f>$I$3*C17-$K$3*C16</f>
        <v>0.9523802840697423</v>
      </c>
      <c r="D102" s="31">
        <f>$I$3*D17-$K$3*D16</f>
        <v>0.8398574256629668</v>
      </c>
      <c r="E102" s="31">
        <f>$I$3*E17-$K$3*E16</f>
        <v>0.6700996716272796</v>
      </c>
      <c r="F102" s="31">
        <f>$I$3*F17-$K$3*F16</f>
        <v>0.45467573236225994</v>
      </c>
      <c r="G102" s="31">
        <f>$I$3*G17-$K$3*G16</f>
        <v>0.20826639332392669</v>
      </c>
      <c r="H102" s="31">
        <f>$I$3*H17-$K$3*H16</f>
        <v>-0.05233595624294377</v>
      </c>
      <c r="I102" s="31">
        <f>$I$3*I17-$K$3*I16</f>
        <v>-0.3093716968811149</v>
      </c>
      <c r="J102" s="31">
        <f>$I$3*J17-$K$3*J16</f>
        <v>-0.5453242676377399</v>
      </c>
      <c r="K102" s="31">
        <f>$I$3*K17-$K$3*K16</f>
        <v>-0.7441138907458155</v>
      </c>
      <c r="L102" s="31">
        <f>$I$3*L17-$K$3*L16</f>
        <v>-0.8921933819059106</v>
      </c>
      <c r="M102" s="31">
        <f>$I$3*M17-$K$3*M16</f>
        <v>-0.9794713685083942</v>
      </c>
      <c r="N102" s="2">
        <f>$I$3*N17-$K$3*N16</f>
        <v>-1</v>
      </c>
      <c r="O102" s="2">
        <f>$I$3*O17-$K$3*O16</f>
        <v>-0.9523802840697423</v>
      </c>
      <c r="P102" s="2">
        <f>$I$3*P17-$K$3*P16</f>
        <v>-0.8398574256629667</v>
      </c>
      <c r="Q102" s="2">
        <f>$I$3*Q17-$K$3*Q16</f>
        <v>-0.6700996716272797</v>
      </c>
      <c r="R102" s="2">
        <f>$I$3*R17-$K$3*R16</f>
        <v>-0.45467573236226033</v>
      </c>
      <c r="S102" s="2">
        <f>$I$3*S17-$K$3*S16</f>
        <v>-0.20826639332392657</v>
      </c>
      <c r="T102" s="2">
        <f>$I$3*T17-$K$3*T16</f>
        <v>0.052335956242943654</v>
      </c>
      <c r="U102" s="2">
        <f>$I$3*U17-$K$3*U16</f>
        <v>0.3093716968811143</v>
      </c>
      <c r="V102" s="2">
        <f>$I$3*V17-$K$3*V16</f>
        <v>0.5453242676377402</v>
      </c>
      <c r="W102" s="2">
        <f>$I$3*W17-$K$3*W16</f>
        <v>0.7441138907458154</v>
      </c>
      <c r="X102" s="2">
        <f>$I$3*X17-$K$3*X16</f>
        <v>0.8921933819059104</v>
      </c>
      <c r="Y102" s="2">
        <f>$I$3*Y17-$K$3*Y16</f>
        <v>0.9794713685083943</v>
      </c>
      <c r="Z102" s="2">
        <f>$I$3*Z17-$K$3*Z16</f>
        <v>1</v>
      </c>
    </row>
    <row r="103" spans="1:26" s="24" customFormat="1" ht="12.75">
      <c r="A103" t="s">
        <v>80</v>
      </c>
      <c r="B103" s="31">
        <f>$I$3*B16+$K$3*B17</f>
        <v>0.052335956242943835</v>
      </c>
      <c r="C103" s="31">
        <f>$I$3*C16+$K$3*C17</f>
        <v>0.30937169688111477</v>
      </c>
      <c r="D103" s="31">
        <f>$I$3*D16+$K$3*D17</f>
        <v>0.5453242676377401</v>
      </c>
      <c r="E103" s="31">
        <f>$I$3*E16+$K$3*E17</f>
        <v>0.7441138907458155</v>
      </c>
      <c r="F103" s="31">
        <f>$I$3*F16+$K$3*F17</f>
        <v>0.8921933819059105</v>
      </c>
      <c r="G103" s="31">
        <f>$I$3*G16+$K$3*G17</f>
        <v>0.9794713685083943</v>
      </c>
      <c r="H103" s="31">
        <f>$I$3*H16+$K$3*H17</f>
        <v>1</v>
      </c>
      <c r="I103" s="31">
        <f>$I$3*I16+$K$3*I17</f>
        <v>0.9523802840697423</v>
      </c>
      <c r="J103" s="31">
        <f>$I$3*J16+$K$3*J17</f>
        <v>0.8398574256629668</v>
      </c>
      <c r="K103" s="31">
        <f>$I$3*K16+$K$3*K17</f>
        <v>0.6700996716272796</v>
      </c>
      <c r="L103" s="31">
        <f>$I$3*L16+$K$3*L17</f>
        <v>0.4546757323622598</v>
      </c>
      <c r="M103" s="31">
        <f>$I$3*M16+$K$3*M17</f>
        <v>0.208266393323927</v>
      </c>
      <c r="N103" s="2">
        <f>$I$3*N16+$K$3*N17</f>
        <v>-0.05233595624294371</v>
      </c>
      <c r="O103" s="2">
        <f>$I$3*O16+$K$3*O17</f>
        <v>-0.3093716968811148</v>
      </c>
      <c r="P103" s="2">
        <f>$I$3*P16+$K$3*P17</f>
        <v>-0.5453242676377402</v>
      </c>
      <c r="Q103" s="2">
        <f>$I$3*Q16+$K$3*Q17</f>
        <v>-0.7441138907458155</v>
      </c>
      <c r="R103" s="2">
        <f>$I$3*R16+$K$3*R17</f>
        <v>-0.8921933819059104</v>
      </c>
      <c r="S103" s="2">
        <f>$I$3*S16+$K$3*S17</f>
        <v>-0.9794713685083943</v>
      </c>
      <c r="T103" s="2">
        <f>$I$3*T16+$K$3*T17</f>
        <v>-1</v>
      </c>
      <c r="U103" s="2">
        <f>$I$3*U16+$K$3*U17</f>
        <v>-0.9523802840697424</v>
      </c>
      <c r="V103" s="2">
        <f>$I$3*V16+$K$3*V17</f>
        <v>-0.8398574256629667</v>
      </c>
      <c r="W103" s="2">
        <f>$I$3*W16+$K$3*W17</f>
        <v>-0.6700996716272797</v>
      </c>
      <c r="X103" s="2">
        <f>$I$3*X16+$K$3*X17</f>
        <v>-0.45467573236226033</v>
      </c>
      <c r="Y103" s="2">
        <f>$I$3*Y16+$K$3*Y17</f>
        <v>-0.20826639332392663</v>
      </c>
      <c r="Z103" s="2">
        <f>$I$3*Z16+$K$3*Z17</f>
        <v>0.05233595624294359</v>
      </c>
    </row>
    <row r="104" spans="1:256" s="24" customFormat="1" ht="12.75">
      <c r="A104" t="s">
        <v>81</v>
      </c>
      <c r="B104" s="31">
        <f>-B20*B103</f>
        <v>-0.052335956242943835</v>
      </c>
      <c r="C104" s="31">
        <f>-C20*C103</f>
        <v>-0.30937169688111477</v>
      </c>
      <c r="D104" s="31">
        <f>-D20*D103</f>
        <v>-0.5453242676377401</v>
      </c>
      <c r="E104" s="31">
        <f>-E20*E103</f>
        <v>-0.7441138907458155</v>
      </c>
      <c r="F104" s="31">
        <f>-F20*F103</f>
        <v>-0.8921933819059105</v>
      </c>
      <c r="G104" s="31">
        <f>-G20*G103</f>
        <v>-0.9794713685083943</v>
      </c>
      <c r="H104" s="31">
        <f>-H20*H103</f>
        <v>-1</v>
      </c>
      <c r="I104" s="31">
        <f>-I20*I103</f>
        <v>-0.9523802840697423</v>
      </c>
      <c r="J104" s="31">
        <f>-J20*J103</f>
        <v>-0.8398574256629668</v>
      </c>
      <c r="K104" s="31">
        <f>-K20*K103</f>
        <v>-0.6700996716272796</v>
      </c>
      <c r="L104" s="31">
        <f>-L20*L103</f>
        <v>-0.4546757323622598</v>
      </c>
      <c r="M104" s="31">
        <f>-M20*M103</f>
        <v>-0.208266393323927</v>
      </c>
      <c r="N104" s="31">
        <f>-N20*N103</f>
        <v>0.05233595624294371</v>
      </c>
      <c r="O104" s="31">
        <f>-O20*O103</f>
        <v>0.3093716968811148</v>
      </c>
      <c r="P104" s="31">
        <f>-P20*P103</f>
        <v>0.5453242676377402</v>
      </c>
      <c r="Q104" s="31">
        <f>-Q20*Q103</f>
        <v>0.7441138907458155</v>
      </c>
      <c r="R104" s="31">
        <f>-R20*R103</f>
        <v>0.8921933819059104</v>
      </c>
      <c r="S104" s="31">
        <f>-S20*S103</f>
        <v>0.9794713685083943</v>
      </c>
      <c r="T104" s="31">
        <f>-T20*T103</f>
        <v>1</v>
      </c>
      <c r="U104" s="31">
        <f>-U20*U103</f>
        <v>0.9523802840697424</v>
      </c>
      <c r="V104" s="31">
        <f>-V20*V103</f>
        <v>0.8398574256629667</v>
      </c>
      <c r="W104" s="31">
        <f>-W20*W103</f>
        <v>0.6700996716272797</v>
      </c>
      <c r="X104" s="31">
        <f>-X20*X103</f>
        <v>0.45467573236226033</v>
      </c>
      <c r="Y104" s="31">
        <f>-Y20*Y103</f>
        <v>0.20826639332392663</v>
      </c>
      <c r="Z104" s="31">
        <f>-Z20*Z103</f>
        <v>-0.05233595624294359</v>
      </c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</row>
    <row r="105" spans="1:26" s="24" customFormat="1" ht="12.75">
      <c r="A105" t="s">
        <v>82</v>
      </c>
      <c r="B105" s="31">
        <f>B20*B102</f>
        <v>1</v>
      </c>
      <c r="C105" s="31">
        <f>C20*C102</f>
        <v>0.9523802840697423</v>
      </c>
      <c r="D105" s="31">
        <f>D20*D102</f>
        <v>0.8398574256629668</v>
      </c>
      <c r="E105" s="31">
        <f>E20*E102</f>
        <v>0.6700996716272796</v>
      </c>
      <c r="F105" s="31">
        <f>F20*F102</f>
        <v>0.45467573236225994</v>
      </c>
      <c r="G105" s="31">
        <f>G20*G102</f>
        <v>0.20826639332392669</v>
      </c>
      <c r="H105" s="31">
        <f>H20*H102</f>
        <v>-0.05233595624294377</v>
      </c>
      <c r="I105" s="31">
        <f>I20*I102</f>
        <v>-0.3093716968811149</v>
      </c>
      <c r="J105" s="31">
        <f>J20*J102</f>
        <v>-0.5453242676377399</v>
      </c>
      <c r="K105" s="31">
        <f>K20*K102</f>
        <v>-0.7441138907458155</v>
      </c>
      <c r="L105" s="31">
        <f>L20*L102</f>
        <v>-0.8921933819059106</v>
      </c>
      <c r="M105" s="31">
        <f>M20*M102</f>
        <v>-0.9794713685083942</v>
      </c>
      <c r="N105" s="2">
        <f>N20*N102</f>
        <v>-1</v>
      </c>
      <c r="O105" s="2">
        <f>O20*O102</f>
        <v>-0.9523802840697423</v>
      </c>
      <c r="P105" s="2">
        <f>P20*P102</f>
        <v>-0.8398574256629667</v>
      </c>
      <c r="Q105" s="2">
        <f>Q20*Q102</f>
        <v>-0.6700996716272797</v>
      </c>
      <c r="R105" s="2">
        <f>R20*R102</f>
        <v>-0.45467573236226033</v>
      </c>
      <c r="S105" s="2">
        <f>S20*S102</f>
        <v>-0.20826639332392657</v>
      </c>
      <c r="T105" s="2">
        <f>T20*T102</f>
        <v>0.052335956242943654</v>
      </c>
      <c r="U105" s="2">
        <f>U20*U102</f>
        <v>0.3093716968811143</v>
      </c>
      <c r="V105" s="2">
        <f>V20*V102</f>
        <v>0.5453242676377402</v>
      </c>
      <c r="W105" s="2">
        <f>W20*W102</f>
        <v>0.7441138907458154</v>
      </c>
      <c r="X105" s="2">
        <f>X20*X102</f>
        <v>0.8921933819059104</v>
      </c>
      <c r="Y105" s="2">
        <f>Y20*Y102</f>
        <v>0.9794713685083943</v>
      </c>
      <c r="Z105" s="2">
        <f>Z20*Z102</f>
        <v>1</v>
      </c>
    </row>
    <row r="106" spans="1:26" s="24" customFormat="1" ht="12.75">
      <c r="A106" t="s">
        <v>83</v>
      </c>
      <c r="B106" s="31">
        <f>-B20*B105-$B$6*B103</f>
        <v>-1</v>
      </c>
      <c r="C106" s="31">
        <f>-C20*C105-$B$6*C103</f>
        <v>-0.9523802840697423</v>
      </c>
      <c r="D106" s="31">
        <f>-D20*D105-$B$6*D103</f>
        <v>-0.8398574256629668</v>
      </c>
      <c r="E106" s="31">
        <f>-E20*E105-$B$6*E103</f>
        <v>-0.6700996716272796</v>
      </c>
      <c r="F106" s="31">
        <f>-F20*F105-$B$6*F103</f>
        <v>-0.45467573236225994</v>
      </c>
      <c r="G106" s="31">
        <f>-G20*G105-$B$6*G103</f>
        <v>-0.20826639332392669</v>
      </c>
      <c r="H106" s="31">
        <f>-H20*H105-$B$6*H103</f>
        <v>0.05233595624294377</v>
      </c>
      <c r="I106" s="31">
        <f>-I20*I105-$B$6*I103</f>
        <v>0.3093716968811149</v>
      </c>
      <c r="J106" s="31">
        <f>-J20*J105-$B$6*J103</f>
        <v>0.5453242676377399</v>
      </c>
      <c r="K106" s="31">
        <f>-K20*K105-$B$6*K103</f>
        <v>0.7441138907458155</v>
      </c>
      <c r="L106" s="31">
        <f>-L20*L105-$B$6*L103</f>
        <v>0.8921933819059106</v>
      </c>
      <c r="M106" s="31">
        <f>-M20*M105-$B$6*M103</f>
        <v>0.9794713685083942</v>
      </c>
      <c r="N106" s="2">
        <f>-N20*N105-$B$6*N103</f>
        <v>1</v>
      </c>
      <c r="O106" s="2">
        <f>-O20*O105-$B$6*O103</f>
        <v>0.9523802840697423</v>
      </c>
      <c r="P106" s="2">
        <f>-P20*P105-$B$6*P103</f>
        <v>0.8398574256629667</v>
      </c>
      <c r="Q106" s="2">
        <f>-Q20*Q105-$B$6*Q103</f>
        <v>0.6700996716272797</v>
      </c>
      <c r="R106" s="2">
        <f>-R20*R105-$B$6*R103</f>
        <v>0.45467573236226033</v>
      </c>
      <c r="S106" s="2">
        <f>-S20*S105-$B$6*S103</f>
        <v>0.20826639332392657</v>
      </c>
      <c r="T106" s="2">
        <f>-T20*T105-$B$6*T103</f>
        <v>-0.052335956242943654</v>
      </c>
      <c r="U106" s="2">
        <f>-U20*U105-$B$6*U103</f>
        <v>-0.3093716968811143</v>
      </c>
      <c r="V106" s="2">
        <f>-V20*V105-$B$6*V103</f>
        <v>-0.5453242676377402</v>
      </c>
      <c r="W106" s="2">
        <f>-W20*W105-$B$6*W103</f>
        <v>-0.7441138907458154</v>
      </c>
      <c r="X106" s="2">
        <f>-X20*X105-$B$6*X103</f>
        <v>-0.8921933819059104</v>
      </c>
      <c r="Y106" s="2">
        <f>-Y20*Y105-$B$6*Y103</f>
        <v>-0.9794713685083943</v>
      </c>
      <c r="Z106" s="2">
        <f>-Z20*Z105-$B$6*Z103</f>
        <v>-1</v>
      </c>
    </row>
    <row r="107" spans="1:256" s="24" customFormat="1" ht="12.75">
      <c r="A107" t="s">
        <v>84</v>
      </c>
      <c r="B107" s="31">
        <f>B20*B104+$B$6*B102</f>
        <v>-0.052335956242943835</v>
      </c>
      <c r="C107" s="31">
        <f>C20*C104+$B$6*C102</f>
        <v>-0.30937169688111477</v>
      </c>
      <c r="D107" s="31">
        <f>D20*D104+$B$6*D102</f>
        <v>-0.5453242676377401</v>
      </c>
      <c r="E107" s="31">
        <f>E20*E104+$B$6*E102</f>
        <v>-0.7441138907458155</v>
      </c>
      <c r="F107" s="31">
        <f>F20*F104+$B$6*F102</f>
        <v>-0.8921933819059105</v>
      </c>
      <c r="G107" s="31">
        <f>G20*G104+$B$6*G102</f>
        <v>-0.9794713685083943</v>
      </c>
      <c r="H107" s="31">
        <f>H20*H104+$B$6*H102</f>
        <v>-1</v>
      </c>
      <c r="I107" s="31">
        <f>I20*I104+$B$6*I102</f>
        <v>-0.9523802840697423</v>
      </c>
      <c r="J107" s="31">
        <f>J20*J104+$B$6*J102</f>
        <v>-0.8398574256629668</v>
      </c>
      <c r="K107" s="31">
        <f>K20*K104+$B$6*K102</f>
        <v>-0.6700996716272796</v>
      </c>
      <c r="L107" s="31">
        <f>L20*L104+$B$6*L102</f>
        <v>-0.4546757323622598</v>
      </c>
      <c r="M107" s="31">
        <f>M20*M104+$B$6*M102</f>
        <v>-0.208266393323927</v>
      </c>
      <c r="N107" s="31">
        <f>N20*N104+$B$6*N102</f>
        <v>0.05233595624294371</v>
      </c>
      <c r="O107" s="31">
        <f>O20*O104+$B$6*O102</f>
        <v>0.3093716968811148</v>
      </c>
      <c r="P107" s="31">
        <f>P20*P104+$B$6*P102</f>
        <v>0.5453242676377402</v>
      </c>
      <c r="Q107" s="31">
        <f>Q20*Q104+$B$6*Q102</f>
        <v>0.7441138907458155</v>
      </c>
      <c r="R107" s="31">
        <f>R20*R104+$B$6*R102</f>
        <v>0.8921933819059104</v>
      </c>
      <c r="S107" s="31">
        <f>S20*S104+$B$6*S102</f>
        <v>0.9794713685083943</v>
      </c>
      <c r="T107" s="31">
        <f>T20*T104+$B$6*T102</f>
        <v>1</v>
      </c>
      <c r="U107" s="31">
        <f>U20*U104+$B$6*U102</f>
        <v>0.9523802840697424</v>
      </c>
      <c r="V107" s="31">
        <f>V20*V104+$B$6*V102</f>
        <v>0.8398574256629667</v>
      </c>
      <c r="W107" s="31">
        <f>W20*W104+$B$6*W102</f>
        <v>0.6700996716272797</v>
      </c>
      <c r="X107" s="31">
        <f>X20*X104+$B$6*X102</f>
        <v>0.45467573236226033</v>
      </c>
      <c r="Y107" s="31">
        <f>Y20*Y104+$B$6*Y102</f>
        <v>0.20826639332392663</v>
      </c>
      <c r="Z107" s="31">
        <f>Z20*Z104+$B$6*Z102</f>
        <v>-0.05233595624294359</v>
      </c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  <c r="IV107" s="28"/>
    </row>
    <row r="108" spans="1:26" s="71" customFormat="1" ht="12.75">
      <c r="A108" s="13"/>
      <c r="B108" s="44"/>
      <c r="C108" s="44"/>
      <c r="D108" s="44"/>
      <c r="E108" s="56" t="s">
        <v>107</v>
      </c>
      <c r="F108" s="56"/>
      <c r="G108" s="56"/>
      <c r="H108" s="56"/>
      <c r="I108" s="56"/>
      <c r="J108" s="56"/>
      <c r="K108" s="56"/>
      <c r="L108" s="44"/>
      <c r="M108" s="4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56" ht="12.75">
      <c r="A109" t="s">
        <v>85</v>
      </c>
      <c r="B109" s="31">
        <f>B24+(($I$4-$D$5)*COS(B36-$B$36))-(($K$4-$D$6)*SIN(B36-$B$36))</f>
        <v>3.63</v>
      </c>
      <c r="C109" s="31">
        <f>C24+(($I$4-$D$5)*COS(C36-$B$36))-(($K$4-$D$6)*SIN(C36-$B$36))</f>
        <v>3.719725360905027</v>
      </c>
      <c r="D109" s="31">
        <f>D24+(($I$4-$D$5)*COS(D36-$B$36))-(($K$4-$D$6)*SIN(D36-$B$36))</f>
        <v>3.7709430221790035</v>
      </c>
      <c r="E109" s="31">
        <f>E24+(($I$4-$D$5)*COS(E36-$B$36))-(($K$4-$D$6)*SIN(E36-$B$36))</f>
        <v>3.7759472295430285</v>
      </c>
      <c r="F109" s="31">
        <f>F24+(($I$4-$D$5)*COS(F36-$B$36))-(($K$4-$D$6)*SIN(F36-$B$36))</f>
        <v>3.7322479657111103</v>
      </c>
      <c r="G109" s="31">
        <f>G24+(($I$4-$D$5)*COS(G36-$B$36))-(($K$4-$D$6)*SIN(G36-$B$36))</f>
        <v>3.6433084587973075</v>
      </c>
      <c r="H109" s="31">
        <f>H24+(($I$4-$D$5)*COS(H36-$B$36))-(($K$4-$D$6)*SIN(H36-$B$36))</f>
        <v>3.5179208132328155</v>
      </c>
      <c r="I109" s="31">
        <f>I24+(($I$4-$D$5)*COS(I36-$B$36))-(($K$4-$D$6)*SIN(I36-$B$36))</f>
        <v>3.3685922556265027</v>
      </c>
      <c r="J109" s="31">
        <f>J24+(($I$4-$D$5)*COS(J36-$B$36))-(($K$4-$D$6)*SIN(J36-$B$36))</f>
        <v>3.2095069455144314</v>
      </c>
      <c r="K109" s="31">
        <f>K24+(($I$4-$D$5)*COS(K36-$B$36))-(($K$4-$D$6)*SIN(K36-$B$36))</f>
        <v>3.0545485401791312</v>
      </c>
      <c r="L109" s="31">
        <f>L24+(($I$4-$D$5)*COS(L36-$B$36))-(($K$4-$D$6)*SIN(L36-$B$36))</f>
        <v>2.9157013435483714</v>
      </c>
      <c r="M109" s="31">
        <f>M24+(($I$4-$D$5)*COS(M36-$B$36))-(($K$4-$D$6)*SIN(M36-$B$36))</f>
        <v>2.802006685762134</v>
      </c>
      <c r="N109" s="2">
        <f>N24+(($I$4-$D$5)*COS(N36-$B$36))-(($K$4-$D$6)*SIN(N36-$B$36))</f>
        <v>2.719145542251339</v>
      </c>
      <c r="O109" s="2">
        <f>O24+(($I$4-$D$5)*COS(O36-$B$36))-(($K$4-$D$6)*SIN(O36-$B$36))</f>
        <v>2.6696132699716477</v>
      </c>
      <c r="P109" s="2">
        <f>P24+(($I$4-$D$5)*COS(P36-$B$36))-(($K$4-$D$6)*SIN(P36-$B$36))</f>
        <v>2.6533358310329462</v>
      </c>
      <c r="Q109" s="2">
        <f>Q24+(($I$4-$D$5)*COS(Q36-$B$36))-(($K$4-$D$6)*SIN(Q36-$B$36))</f>
        <v>2.6684882719115603</v>
      </c>
      <c r="R109" s="2">
        <f>R24+(($I$4-$D$5)*COS(R36-$B$36))-(($K$4-$D$6)*SIN(R36-$B$36))</f>
        <v>2.712269693171132</v>
      </c>
      <c r="S109" s="2">
        <f>S24+(($I$4-$D$5)*COS(S36-$B$36))-(($K$4-$D$6)*SIN(S36-$B$36))</f>
        <v>2.781466718682711</v>
      </c>
      <c r="T109" s="2">
        <f>T24+(($I$4-$D$5)*COS(T36-$B$36))-(($K$4-$D$6)*SIN(T36-$B$36))</f>
        <v>2.872737992472014</v>
      </c>
      <c r="U109" s="2">
        <f>U24+(($I$4-$D$5)*COS(U36-$B$36))-(($K$4-$D$6)*SIN(U36-$B$36))</f>
        <v>2.9826131168086305</v>
      </c>
      <c r="V109" s="2">
        <f>V24+(($I$4-$D$5)*COS(V36-$B$36))-(($K$4-$D$6)*SIN(V36-$B$36))</f>
        <v>3.107215179170576</v>
      </c>
      <c r="W109" s="2">
        <f>W24+(($I$4-$D$5)*COS(W36-$B$36))-(($K$4-$D$6)*SIN(W36-$B$36))</f>
        <v>3.241734299895721</v>
      </c>
      <c r="X109" s="2">
        <f>X24+(($I$4-$D$5)*COS(X36-$B$36))-(($K$4-$D$6)*SIN(X36-$B$36))</f>
        <v>3.3797598322010733</v>
      </c>
      <c r="Y109" s="2">
        <f>Y24+(($I$4-$D$5)*COS(Y36-$B$36))-(($K$4-$D$6)*SIN(Y36-$B$36))</f>
        <v>3.5127399524203247</v>
      </c>
      <c r="Z109" s="2">
        <f>Z24+(($I$4-$D$5)*COS(Z36-$B$36))-(($K$4-$D$6)*SIN(Z36-$B$36))</f>
        <v>3.63</v>
      </c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</row>
    <row r="110" spans="1:256" ht="12.75">
      <c r="A110" t="s">
        <v>86</v>
      </c>
      <c r="B110" s="31">
        <f>B25+(($I$4-$D$5)*SIN(B36-$B$36))+(($K$4-$D$6)*COS(B36-$B$36))</f>
        <v>5</v>
      </c>
      <c r="C110" s="31">
        <f>C25+(($I$4-$D$5)*SIN(C36-$B$36))+(($K$4-$D$6)*COS(C36-$B$36))</f>
        <v>5.181179024125085</v>
      </c>
      <c r="D110" s="31">
        <f>D25+(($I$4-$D$5)*SIN(D36-$B$36))+(($K$4-$D$6)*COS(D36-$B$36))</f>
        <v>5.320125216483396</v>
      </c>
      <c r="E110" s="31">
        <f>E25+(($I$4-$D$5)*SIN(E36-$B$36))+(($K$4-$D$6)*COS(E36-$B$36))</f>
        <v>5.406960911598165</v>
      </c>
      <c r="F110" s="31">
        <f>F25+(($I$4-$D$5)*SIN(F36-$B$36))+(($K$4-$D$6)*COS(F36-$B$36))</f>
        <v>5.435950748494543</v>
      </c>
      <c r="G110" s="31">
        <f>G25+(($I$4-$D$5)*SIN(G36-$B$36))+(($K$4-$D$6)*COS(G36-$B$36))</f>
        <v>5.405510140870771</v>
      </c>
      <c r="H110" s="31">
        <f>H25+(($I$4-$D$5)*SIN(H36-$B$36))+(($K$4-$D$6)*COS(H36-$B$36))</f>
        <v>5.317976315839055</v>
      </c>
      <c r="I110" s="31">
        <f>I25+(($I$4-$D$5)*SIN(I36-$B$36))+(($K$4-$D$6)*COS(I36-$B$36))</f>
        <v>5.179375357106018</v>
      </c>
      <c r="J110" s="31">
        <f>J25+(($I$4-$D$5)*SIN(J36-$B$36))+(($K$4-$D$6)*COS(J36-$B$36))</f>
        <v>4.999184715515033</v>
      </c>
      <c r="K110" s="31">
        <f>K25+(($I$4-$D$5)*SIN(K36-$B$36))+(($K$4-$D$6)*COS(K36-$B$36))</f>
        <v>4.78993333346201</v>
      </c>
      <c r="L110" s="31">
        <f>L25+(($I$4-$D$5)*SIN(L36-$B$36))+(($K$4-$D$6)*COS(L36-$B$36))</f>
        <v>4.566467274745524</v>
      </c>
      <c r="M110" s="31">
        <f>M25+(($I$4-$D$5)*SIN(M36-$B$36))+(($K$4-$D$6)*COS(M36-$B$36))</f>
        <v>4.34480951231864</v>
      </c>
      <c r="N110" s="2">
        <f>N25+(($I$4-$D$5)*SIN(N36-$B$36))+(($K$4-$D$6)*COS(N36-$B$36))</f>
        <v>4.140710489009724</v>
      </c>
      <c r="O110" s="2">
        <f>O25+(($I$4-$D$5)*SIN(O36-$B$36))+(($K$4-$D$6)*COS(O36-$B$36))</f>
        <v>3.9681596811982134</v>
      </c>
      <c r="P110" s="2">
        <f>P25+(($I$4-$D$5)*SIN(P36-$B$36))+(($K$4-$D$6)*COS(P36-$B$36))</f>
        <v>3.8382117866245213</v>
      </c>
      <c r="Q110" s="2">
        <f>Q25+(($I$4-$D$5)*SIN(Q36-$B$36))+(($K$4-$D$6)*COS(Q36-$B$36))</f>
        <v>3.7583871624868443</v>
      </c>
      <c r="R110" s="2">
        <f>R25+(($I$4-$D$5)*SIN(R36-$B$36))+(($K$4-$D$6)*COS(R36-$B$36))</f>
        <v>3.7326593813503948</v>
      </c>
      <c r="S110" s="2">
        <f>S25+(($I$4-$D$5)*SIN(S36-$B$36))+(($K$4-$D$6)*COS(S36-$B$36))</f>
        <v>3.7618003673418774</v>
      </c>
      <c r="T110" s="2">
        <f>T25+(($I$4-$D$5)*SIN(T36-$B$36))+(($K$4-$D$6)*COS(T36-$B$36))</f>
        <v>3.8437688760835167</v>
      </c>
      <c r="U110" s="2">
        <f>U25+(($I$4-$D$5)*SIN(U36-$B$36))+(($K$4-$D$6)*COS(U36-$B$36))</f>
        <v>3.9739179800205306</v>
      </c>
      <c r="V110" s="2">
        <f>V25+(($I$4-$D$5)*SIN(V36-$B$36))+(($K$4-$D$6)*COS(V36-$B$36))</f>
        <v>4.144972027652422</v>
      </c>
      <c r="W110" s="2">
        <f>W25+(($I$4-$D$5)*SIN(W36-$B$36))+(($K$4-$D$6)*COS(W36-$B$36))</f>
        <v>4.346897768120128</v>
      </c>
      <c r="X110" s="2">
        <f>X25+(($I$4-$D$5)*SIN(X36-$B$36))+(($K$4-$D$6)*COS(X36-$B$36))</f>
        <v>4.566925451270604</v>
      </c>
      <c r="Y110" s="2">
        <f>Y25+(($I$4-$D$5)*SIN(Y36-$B$36))+(($K$4-$D$6)*COS(Y36-$B$36))</f>
        <v>4.790021044426339</v>
      </c>
      <c r="Z110" s="2">
        <f>Z25+(($I$4-$D$5)*SIN(Z36-$B$36))+(($K$4-$D$6)*COS(Z36-$B$36))</f>
        <v>5</v>
      </c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</row>
    <row r="111" spans="1:256" ht="12.75">
      <c r="A111" t="s">
        <v>87</v>
      </c>
      <c r="B111" s="31">
        <f>B26-B40*(B110-B25)</f>
        <v>0.40287015080063143</v>
      </c>
      <c r="C111" s="31">
        <f>C26-C40*(C110-C25)</f>
        <v>0.27543165664285424</v>
      </c>
      <c r="D111" s="31">
        <f>D26-D40*(D110-D25)</f>
        <v>0.11080540017137919</v>
      </c>
      <c r="E111" s="31">
        <f>E26-E40*(E110-E25)</f>
        <v>-0.07420942055872848</v>
      </c>
      <c r="F111" s="31">
        <f>F26-F40*(F110-F25)</f>
        <v>-0.25737985278682396</v>
      </c>
      <c r="G111" s="31">
        <f>G26-G40*(G110-G25)</f>
        <v>-0.4163623880808095</v>
      </c>
      <c r="H111" s="31">
        <f>H26-H40*(H110-H25)</f>
        <v>-0.5334320470331335</v>
      </c>
      <c r="I111" s="31">
        <f>I26-I40*(I110-I25)</f>
        <v>-0.5981954797456039</v>
      </c>
      <c r="J111" s="31">
        <f>J26-J40*(J110-J25)</f>
        <v>-0.6081848298655742</v>
      </c>
      <c r="K111" s="31">
        <f>K26-K40*(K110-K25)</f>
        <v>-0.5679136496655915</v>
      </c>
      <c r="L111" s="31">
        <f>L26-L40*(L110-L25)</f>
        <v>-0.4870186129317355</v>
      </c>
      <c r="M111" s="31">
        <f>M26-M40*(M110-M25)</f>
        <v>-0.37794050120535394</v>
      </c>
      <c r="N111" s="2">
        <f>N26-N40*(N110-N25)</f>
        <v>-0.2535249613529228</v>
      </c>
      <c r="O111" s="2">
        <f>O26-O40*(O110-O25)</f>
        <v>-0.12497535164127765</v>
      </c>
      <c r="P111" s="2">
        <f>P26-P40*(P110-P25)</f>
        <v>-0.0005878212631340585</v>
      </c>
      <c r="Q111" s="2">
        <f>Q26-Q40*(Q110-Q25)</f>
        <v>0.11452442996415424</v>
      </c>
      <c r="R111" s="2">
        <f>R26-R40*(R110-R25)</f>
        <v>0.2178772058768439</v>
      </c>
      <c r="S111" s="2">
        <f>S26-S40*(S110-S25)</f>
        <v>0.3086221065401482</v>
      </c>
      <c r="T111" s="2">
        <f>T26-T40*(T110-T25)</f>
        <v>0.38644755008280884</v>
      </c>
      <c r="U111" s="2">
        <f>U26-U40*(U110-U25)</f>
        <v>0.4505027934027819</v>
      </c>
      <c r="V111" s="2">
        <f>V26-V40*(V110-V25)</f>
        <v>0.4983696963895514</v>
      </c>
      <c r="W111" s="2">
        <f>W26-W40*(W110-W25)</f>
        <v>0.525238152763954</v>
      </c>
      <c r="X111" s="2">
        <f>X26-X40*(X110-X25)</f>
        <v>0.5237581218793561</v>
      </c>
      <c r="Y111" s="2">
        <f>Y26-Y40*(Y110-Y25)</f>
        <v>0.48527765161622605</v>
      </c>
      <c r="Z111" s="2">
        <f>Z26-Z40*(Z110-Z25)</f>
        <v>0.4028701508006318</v>
      </c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</row>
    <row r="112" spans="1:256" ht="12.75">
      <c r="A112" t="s">
        <v>88</v>
      </c>
      <c r="B112" s="31">
        <f>B27+B40*(B109-B24)</f>
        <v>0.7565322753043872</v>
      </c>
      <c r="C112" s="31">
        <f>C27+C40*(C109-C24)</f>
        <v>0.6189360405255411</v>
      </c>
      <c r="D112" s="31">
        <f>D27+D40*(D109-D24)</f>
        <v>0.43621067390656704</v>
      </c>
      <c r="E112" s="31">
        <f>E27+E40*(E109-E24)</f>
        <v>0.22351705782667725</v>
      </c>
      <c r="F112" s="31">
        <f>F27+F40*(F109-F24)</f>
        <v>-0.0030429122552775856</v>
      </c>
      <c r="G112" s="31">
        <f>G27+G40*(G109-G24)</f>
        <v>-0.22800361685142043</v>
      </c>
      <c r="H112" s="31">
        <f>H27+H40*(H109-H24)</f>
        <v>-0.43685578385992996</v>
      </c>
      <c r="I112" s="31">
        <f>I27+I40*(I109-I24)</f>
        <v>-0.6159202958608085</v>
      </c>
      <c r="J112" s="31">
        <f>J27+J40*(J109-J24)</f>
        <v>-0.7526126355103625</v>
      </c>
      <c r="K112" s="31">
        <f>K27+K40*(K109-K24)</f>
        <v>-0.8364254288893859</v>
      </c>
      <c r="L112" s="31">
        <f>L27+L40*(L109-L24)</f>
        <v>-0.8604341014796653</v>
      </c>
      <c r="M112" s="31">
        <f>M27+M40*(M109-M24)</f>
        <v>-0.8227811488301702</v>
      </c>
      <c r="N112" s="31">
        <f>N27+N40*(N109-N24)</f>
        <v>-0.7274371901633251</v>
      </c>
      <c r="O112" s="31">
        <f>O27+O40*(O109-O24)</f>
        <v>-0.5836779640679588</v>
      </c>
      <c r="P112" s="31">
        <f>P27+P40*(P109-P24)</f>
        <v>-0.40426480135673354</v>
      </c>
      <c r="Q112" s="31">
        <f>Q27+Q40*(Q109-Q24)</f>
        <v>-0.20304588121628664</v>
      </c>
      <c r="R112" s="31">
        <f>R27+R40*(R109-R24)</f>
        <v>0.006964640357785046</v>
      </c>
      <c r="S112" s="31">
        <f>S27+S40*(S109-S24)</f>
        <v>0.2143429563709532</v>
      </c>
      <c r="T112" s="31">
        <f>T27+T40*(T109-T24)</f>
        <v>0.40889466323545043</v>
      </c>
      <c r="U112" s="31">
        <f>U27+U40*(U109-U24)</f>
        <v>0.5807500751443886</v>
      </c>
      <c r="V112" s="31">
        <f>V27+V40*(V109-V24)</f>
        <v>0.7196208637791358</v>
      </c>
      <c r="W112" s="31">
        <f>W27+W40*(W109-W24)</f>
        <v>0.8148206899580848</v>
      </c>
      <c r="X112" s="31">
        <f>X27+X40*(X109-X24)</f>
        <v>0.856424308097358</v>
      </c>
      <c r="Y112" s="31">
        <f>Y27+Y40*(Y109-Y24)</f>
        <v>0.8374875158349955</v>
      </c>
      <c r="Z112" s="31">
        <f>Z27+Z40*(Z109-Z24)</f>
        <v>0.756532275304387</v>
      </c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  <c r="IV112" s="28"/>
    </row>
    <row r="113" spans="1:256" ht="12.75">
      <c r="A113" t="s">
        <v>89</v>
      </c>
      <c r="B113" s="31">
        <f>B28-B44*(B110-B25)-B40*(B111-B27)</f>
        <v>-0.4352160774661797</v>
      </c>
      <c r="C113" s="31">
        <f>C28-C44*(C110-C25)-C40*(C111-C27)</f>
        <v>-0.6070983908361717</v>
      </c>
      <c r="D113" s="31">
        <f>D28-D44*(D110-D25)-D40*(D111-D27)</f>
        <v>-0.7254841145798108</v>
      </c>
      <c r="E113" s="31">
        <f>E28-E44*(E110-E25)-E40*(E111-E27)</f>
        <v>-0.7607730846427245</v>
      </c>
      <c r="F113" s="31">
        <f>F28-F44*(F110-F25)-F40*(F111-F27)</f>
        <v>-0.7021684861065287</v>
      </c>
      <c r="G113" s="31">
        <f>G28-G44*(G110-G25)-G40*(G111-G27)</f>
        <v>-0.5602709221458572</v>
      </c>
      <c r="H113" s="31">
        <f>H28-H44*(H110-H25)-H40*(H111-H27)</f>
        <v>-0.361729414720263</v>
      </c>
      <c r="I113" s="31">
        <f>I28-I44*(I110-I25)-I40*(I111-I27)</f>
        <v>-0.1404438991692218</v>
      </c>
      <c r="J113" s="31">
        <f>J28-J44*(J110-J25)-J40*(J111-J27)</f>
        <v>0.07061551243396497</v>
      </c>
      <c r="K113" s="31">
        <f>K28-K44*(K110-K25)-K40*(K111-K27)</f>
        <v>0.24534427542324622</v>
      </c>
      <c r="L113" s="31">
        <f>L28-L44*(L110-L25)-L40*(L111-L27)</f>
        <v>0.36816781330864135</v>
      </c>
      <c r="M113" s="31">
        <f>M28-M44*(M110-M25)-M40*(M111-M27)</f>
        <v>0.4355329546668272</v>
      </c>
      <c r="N113" s="31">
        <f>N28-N44*(N110-N25)-N40*(N111-N27)</f>
        <v>0.4548641423818963</v>
      </c>
      <c r="O113" s="31">
        <f>O28-O44*(O110-O25)-O40*(O111-O27)</f>
        <v>0.4407725787915112</v>
      </c>
      <c r="P113" s="31">
        <f>P28-P44*(P110-P25)-P40*(P111-P27)</f>
        <v>0.4095017321320134</v>
      </c>
      <c r="Q113" s="31">
        <f>Q28-Q44*(Q110-Q25)-Q40*(Q111-Q27)</f>
        <v>0.37381129486559717</v>
      </c>
      <c r="R113" s="31">
        <f>R28-R44*(R110-R25)-R40*(R111-R27)</f>
        <v>0.3402238136919148</v>
      </c>
      <c r="S113" s="31">
        <f>S28-S44*(S110-S25)-S40*(S111-S27)</f>
        <v>0.30886365173047203</v>
      </c>
      <c r="T113" s="31">
        <f>T28-T44*(T110-T25)-T40*(T111-T27)</f>
        <v>0.27472458635426555</v>
      </c>
      <c r="U113" s="31">
        <f>U28-U44*(U110-U25)-U40*(U111-U27)</f>
        <v>0.22921441089387629</v>
      </c>
      <c r="V113" s="31">
        <f>V28-V44*(V110-V25)-V40*(V111-V27)</f>
        <v>0.16176189988855047</v>
      </c>
      <c r="W113" s="31">
        <f>W28-W44*(W110-W25)-W40*(W111-W27)</f>
        <v>0.06216011456637967</v>
      </c>
      <c r="X113" s="31">
        <f>X28-X44*(X110-X25)-X40*(X111-X27)</f>
        <v>-0.07548874126439367</v>
      </c>
      <c r="Y113" s="31">
        <f>Y28-Y44*(Y110-Y25)-Y40*(Y111-Y27)</f>
        <v>-0.24734031990085437</v>
      </c>
      <c r="Z113" s="31">
        <f>Z28-Z44*(Z110-Z25)-Z40*(Z111-Z27)</f>
        <v>-0.4352160774661797</v>
      </c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  <c r="IU113" s="28"/>
      <c r="IV113" s="28"/>
    </row>
    <row r="114" spans="1:256" ht="12.75">
      <c r="A114" t="s">
        <v>90</v>
      </c>
      <c r="B114" s="31">
        <f>B29+B44*(B109-B24)+B40*(B111-B26)</f>
        <v>-0.42301469049964224</v>
      </c>
      <c r="C114" s="31">
        <f>C29+C44*(C109-C24)+C40*(C111-C26)</f>
        <v>-0.6206394757382339</v>
      </c>
      <c r="D114" s="31">
        <f>D29+D44*(D109-D24)+D40*(D111-D26)</f>
        <v>-0.7654411534259122</v>
      </c>
      <c r="E114" s="31">
        <f>E29+E44*(E109-E24)+E40*(E111-E26)</f>
        <v>-0.8490667956130642</v>
      </c>
      <c r="F114" s="31">
        <f>F29+F44*(F109-F24)+F40*(F111-F26)</f>
        <v>-0.8718668924820759</v>
      </c>
      <c r="G114" s="31">
        <f>G29+G44*(G109-G24)+G40*(G111-G26)</f>
        <v>-0.8374858621709401</v>
      </c>
      <c r="H114" s="31">
        <f>H29+H44*(H109-H24)+H40*(H111-H26)</f>
        <v>-0.7493047965967584</v>
      </c>
      <c r="I114" s="31">
        <f>I29+I44*(I109-I24)+I40*(I111-I26)</f>
        <v>-0.6105711246253738</v>
      </c>
      <c r="J114" s="31">
        <f>J29+J44*(J109-J24)+J40*(J111-J26)</f>
        <v>-0.42689117770701474</v>
      </c>
      <c r="K114" s="31">
        <f>K29+K44*(K109-K24)+K40*(K111-K26)</f>
        <v>-0.2088817739212645</v>
      </c>
      <c r="L114" s="31">
        <f>L29+L44*(L109-L24)+L40*(L111-L26)</f>
        <v>0.026705829252399046</v>
      </c>
      <c r="M114" s="31">
        <f>M29+M44*(M109-M24)+M40*(M111-M26)</f>
        <v>0.2583810047370916</v>
      </c>
      <c r="N114" s="2">
        <f>N29+N44*(N109-N24)+N40*(N111-N26)</f>
        <v>0.46396503998862465</v>
      </c>
      <c r="O114" s="2">
        <f>O29+O44*(O109-O24)+O40*(O111-O26)</f>
        <v>0.6259867805392417</v>
      </c>
      <c r="P114" s="2">
        <f>P29+P44*(P109-P24)+P40*(P111-P26)</f>
        <v>0.7356836432239503</v>
      </c>
      <c r="Q114" s="2">
        <f>Q29+Q44*(Q109-Q24)+Q40*(Q111-Q26)</f>
        <v>0.793183360334762</v>
      </c>
      <c r="R114" s="2">
        <f>R29+R44*(R109-R24)+R40*(R111-R26)</f>
        <v>0.8039351331206089</v>
      </c>
      <c r="S114" s="2">
        <f>S29+S44*(S109-S24)+S40*(S111-S26)</f>
        <v>0.7738928699625899</v>
      </c>
      <c r="T114" s="2">
        <f>T29+T44*(T109-T24)+T40*(T111-T26)</f>
        <v>0.7061423661257473</v>
      </c>
      <c r="U114" s="2">
        <f>U29+U44*(U109-U24)+U40*(U111-U26)</f>
        <v>0.6001889532351138</v>
      </c>
      <c r="V114" s="2">
        <f>V29+V44*(V109-V24)+V40*(V111-V26)</f>
        <v>0.4538286502323613</v>
      </c>
      <c r="W114" s="2">
        <f>W29+W44*(W109-W24)+W40*(W111-W26)</f>
        <v>0.2669772122089105</v>
      </c>
      <c r="X114" s="2">
        <f>X29+X44*(X109-X24)+X40*(X111-X26)</f>
        <v>0.046258049191330496</v>
      </c>
      <c r="Y114" s="2">
        <f>Y29+Y44*(Y109-Y24)+Y40*(Y111-Y26)</f>
        <v>-0.19196514937245157</v>
      </c>
      <c r="Z114" s="2">
        <f>Z29+Z44*(Z109-Z24)+Z40*(Z111-Z26)</f>
        <v>-0.42301469049964197</v>
      </c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</row>
    <row r="115" spans="1:26" s="71" customFormat="1" ht="12.75">
      <c r="A115" s="13"/>
      <c r="B115" s="44"/>
      <c r="C115" s="44"/>
      <c r="D115" s="56" t="s">
        <v>108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56" ht="12.75">
      <c r="A116" t="s">
        <v>91</v>
      </c>
      <c r="B116" s="31">
        <f>$D$3+($I$5-$D$3)*COS(B38-$B$38)-($K$5-$D$4)*SIN(B38-$B$38)</f>
        <v>6.9</v>
      </c>
      <c r="C116" s="31">
        <f>$D$3+($I$5-$D$3)*COS(C38-$B$38)-($K$5-$D$4)*SIN(C38-$B$38)</f>
        <v>6.975985211443091</v>
      </c>
      <c r="D116" s="31">
        <f>$D$3+($I$5-$D$3)*COS(D38-$B$38)-($K$5-$D$4)*SIN(D38-$B$38)</f>
        <v>7.031671671769971</v>
      </c>
      <c r="E116" s="31">
        <f>$D$3+($I$5-$D$3)*COS(E38-$B$38)-($K$5-$D$4)*SIN(E38-$B$38)</f>
        <v>7.060207466427392</v>
      </c>
      <c r="F116" s="31">
        <f>$D$3+($I$5-$D$3)*COS(F38-$B$38)-($K$5-$D$4)*SIN(F38-$B$38)</f>
        <v>7.058110391203823</v>
      </c>
      <c r="G116" s="31">
        <f>$D$3+($I$5-$D$3)*COS(G38-$B$38)-($K$5-$D$4)*SIN(G38-$B$38)</f>
        <v>7.0258936301882695</v>
      </c>
      <c r="H116" s="31">
        <f>$D$3+($I$5-$D$3)*COS(H38-$B$38)-($K$5-$D$4)*SIN(H38-$B$38)</f>
        <v>6.967733130731098</v>
      </c>
      <c r="I116" s="31">
        <f>$D$3+($I$5-$D$3)*COS(I38-$B$38)-($K$5-$D$4)*SIN(I38-$B$38)</f>
        <v>6.890448563037313</v>
      </c>
      <c r="J116" s="31">
        <f>$D$3+($I$5-$D$3)*COS(J38-$B$38)-($K$5-$D$4)*SIN(J38-$B$38)</f>
        <v>6.802194019139153</v>
      </c>
      <c r="K116" s="31">
        <f>$D$3+($I$5-$D$3)*COS(K38-$B$38)-($K$5-$D$4)*SIN(K38-$B$38)</f>
        <v>6.71118769675787</v>
      </c>
      <c r="L116" s="31">
        <f>$D$3+($I$5-$D$3)*COS(L38-$B$38)-($K$5-$D$4)*SIN(L38-$B$38)</f>
        <v>6.624688282348263</v>
      </c>
      <c r="M116" s="31">
        <f>$D$3+($I$5-$D$3)*COS(M38-$B$38)-($K$5-$D$4)*SIN(M38-$B$38)</f>
        <v>6.548330030442452</v>
      </c>
      <c r="N116" s="2">
        <f>$D$3+($I$5-$D$3)*COS(N38-$B$38)-($K$5-$D$4)*SIN(N38-$B$38)</f>
        <v>6.485862783835753</v>
      </c>
      <c r="O116" s="2">
        <f>$D$3+($I$5-$D$3)*COS(O38-$B$38)-($K$5-$D$4)*SIN(O38-$B$38)</f>
        <v>6.4392787788847885</v>
      </c>
      <c r="P116" s="2">
        <f>$D$3+($I$5-$D$3)*COS(P38-$B$38)-($K$5-$D$4)*SIN(P38-$B$38)</f>
        <v>6.409231209063213</v>
      </c>
      <c r="Q116" s="2">
        <f>$D$3+($I$5-$D$3)*COS(Q38-$B$38)-($K$5-$D$4)*SIN(Q38-$B$38)</f>
        <v>6.3955836225757485</v>
      </c>
      <c r="R116" s="2">
        <f>$D$3+($I$5-$D$3)*COS(R38-$B$38)-($K$5-$D$4)*SIN(R38-$B$38)</f>
        <v>6.397914422739607</v>
      </c>
      <c r="S116" s="2">
        <f>$D$3+($I$5-$D$3)*COS(S38-$B$38)-($K$5-$D$4)*SIN(S38-$B$38)</f>
        <v>6.415846831563847</v>
      </c>
      <c r="T116" s="2">
        <f>$D$3+($I$5-$D$3)*COS(T38-$B$38)-($K$5-$D$4)*SIN(T38-$B$38)</f>
        <v>6.449145339795881</v>
      </c>
      <c r="U116" s="2">
        <f>$D$3+($I$5-$D$3)*COS(U38-$B$38)-($K$5-$D$4)*SIN(U38-$B$38)</f>
        <v>6.497570699014763</v>
      </c>
      <c r="V116" s="2">
        <f>$D$3+($I$5-$D$3)*COS(V38-$B$38)-($K$5-$D$4)*SIN(V38-$B$38)</f>
        <v>6.560507978104555</v>
      </c>
      <c r="W116" s="2">
        <f>$D$3+($I$5-$D$3)*COS(W38-$B$38)-($K$5-$D$4)*SIN(W38-$B$38)</f>
        <v>6.636405756626561</v>
      </c>
      <c r="X116" s="2">
        <f>$D$3+($I$5-$D$3)*COS(X38-$B$38)-($K$5-$D$4)*SIN(X38-$B$38)</f>
        <v>6.722129557202166</v>
      </c>
      <c r="Y116" s="2">
        <f>$D$3+($I$5-$D$3)*COS(Y38-$B$38)-($K$5-$D$4)*SIN(Y38-$B$38)</f>
        <v>6.812450498985323</v>
      </c>
      <c r="Z116" s="2">
        <f>$D$3+($I$5-$D$3)*COS(Z38-$B$38)-($K$5-$D$4)*SIN(Z38-$B$38)</f>
        <v>6.9</v>
      </c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</row>
    <row r="117" spans="1:256" ht="12.75">
      <c r="A117" t="s">
        <v>92</v>
      </c>
      <c r="B117" s="45">
        <f>$D$4+($I$5-$D$3)*SIN(B38-$B$38)+($K$5-$D$4)*COS(B38-$B$38)</f>
        <v>4.6</v>
      </c>
      <c r="C117" s="45">
        <f>$D$4+($I$5-$D$3)*SIN(C38-$B$38)+($K$5-$D$4)*COS(C38-$B$38)</f>
        <v>4.6879982437846035</v>
      </c>
      <c r="D117" s="45">
        <f>$D$4+($I$5-$D$3)*SIN(D38-$B$38)+($K$5-$D$4)*COS(D38-$B$38)</f>
        <v>4.749368461270173</v>
      </c>
      <c r="E117" s="45">
        <f>$D$4+($I$5-$D$3)*SIN(E38-$B$38)+($K$5-$D$4)*COS(E38-$B$38)</f>
        <v>4.779859683428417</v>
      </c>
      <c r="F117" s="45">
        <f>$D$4+($I$5-$D$3)*SIN(F38-$B$38)+($K$5-$D$4)*COS(F38-$B$38)</f>
        <v>4.777640280824187</v>
      </c>
      <c r="G117" s="45">
        <f>$D$4+($I$5-$D$3)*SIN(G38-$B$38)+($K$5-$D$4)*COS(G38-$B$38)</f>
        <v>4.7431170775315605</v>
      </c>
      <c r="H117" s="45">
        <f>$D$4+($I$5-$D$3)*SIN(H38-$B$38)+($K$5-$D$4)*COS(H38-$B$38)</f>
        <v>4.678685803436859</v>
      </c>
      <c r="I117" s="45">
        <f>$D$4+($I$5-$D$3)*SIN(I38-$B$38)+($K$5-$D$4)*COS(I38-$B$38)</f>
        <v>4.588569075934287</v>
      </c>
      <c r="J117" s="45">
        <f>$D$4+($I$5-$D$3)*SIN(J38-$B$38)+($K$5-$D$4)*COS(J38-$B$38)</f>
        <v>4.47871678672062</v>
      </c>
      <c r="K117" s="45">
        <f>$D$4+($I$5-$D$3)*SIN(K38-$B$38)+($K$5-$D$4)*COS(K38-$B$38)</f>
        <v>4.356631841005971</v>
      </c>
      <c r="L117" s="45">
        <f>$D$4+($I$5-$D$3)*SIN(L38-$B$38)+($K$5-$D$4)*COS(L38-$B$38)</f>
        <v>4.230979786704235</v>
      </c>
      <c r="M117" s="45">
        <f>$D$4+($I$5-$D$3)*SIN(M38-$B$38)+($K$5-$D$4)*COS(M38-$B$38)</f>
        <v>4.110917909643716</v>
      </c>
      <c r="N117" s="10">
        <f>$D$4+($I$5-$D$3)*SIN(N38-$B$38)+($K$5-$D$4)*COS(N38-$B$38)</f>
        <v>4.005203138330227</v>
      </c>
      <c r="O117" s="10">
        <f>$D$4+($I$5-$D$3)*SIN(O38-$B$38)+($K$5-$D$4)*COS(O38-$B$38)</f>
        <v>3.9212663494424165</v>
      </c>
      <c r="P117" s="10">
        <f>$D$4+($I$5-$D$3)*SIN(P38-$B$38)+($K$5-$D$4)*COS(P38-$B$38)</f>
        <v>3.8645051595622792</v>
      </c>
      <c r="Q117" s="10">
        <f>$D$4+($I$5-$D$3)*SIN(Q38-$B$38)+($K$5-$D$4)*COS(Q38-$B$38)</f>
        <v>3.837983291043701</v>
      </c>
      <c r="R117" s="10">
        <f>$D$4+($I$5-$D$3)*SIN(R38-$B$38)+($K$5-$D$4)*COS(R38-$B$38)</f>
        <v>3.8425470127225125</v>
      </c>
      <c r="S117" s="10">
        <f>$D$4+($I$5-$D$3)*SIN(S38-$B$38)+($K$5-$D$4)*COS(S38-$B$38)</f>
        <v>3.877191003917577</v>
      </c>
      <c r="T117" s="10">
        <f>$D$4+($I$5-$D$3)*SIN(T38-$B$38)+($K$5-$D$4)*COS(T38-$B$38)</f>
        <v>3.9394409457641872</v>
      </c>
      <c r="U117" s="10">
        <f>$D$4+($I$5-$D$3)*SIN(U38-$B$38)+($K$5-$D$4)*COS(U38-$B$38)</f>
        <v>4.025583617528554</v>
      </c>
      <c r="V117" s="10">
        <f>$D$4+($I$5-$D$3)*SIN(V38-$B$38)+($K$5-$D$4)*COS(V38-$B$38)</f>
        <v>4.130702849136307</v>
      </c>
      <c r="W117" s="10">
        <f>$D$4+($I$5-$D$3)*SIN(W38-$B$38)+($K$5-$D$4)*COS(W38-$B$38)</f>
        <v>4.248607072377267</v>
      </c>
      <c r="X117" s="10">
        <f>$D$4+($I$5-$D$3)*SIN(X38-$B$38)+($K$5-$D$4)*COS(X38-$B$38)</f>
        <v>4.37182743053375</v>
      </c>
      <c r="Y117" s="10">
        <f>$D$4+($I$5-$D$3)*SIN(Y38-$B$38)+($K$5-$D$4)*COS(Y38-$B$38)</f>
        <v>4.491892489370496</v>
      </c>
      <c r="Z117" s="10">
        <f>$D$4+($I$5-$D$3)*SIN(Z38-$B$38)+($K$5-$D$4)*COS(Z38-$B$38)</f>
        <v>4.6</v>
      </c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2"/>
      <c r="GE117" s="72"/>
      <c r="GF117" s="72"/>
      <c r="GG117" s="72"/>
      <c r="GH117" s="72"/>
      <c r="GI117" s="72"/>
      <c r="GJ117" s="72"/>
      <c r="GK117" s="72"/>
      <c r="GL117" s="72"/>
      <c r="GM117" s="72"/>
      <c r="GN117" s="72"/>
      <c r="GO117" s="72"/>
      <c r="GP117" s="72"/>
      <c r="GQ117" s="72"/>
      <c r="GR117" s="72"/>
      <c r="GS117" s="72"/>
      <c r="GT117" s="72"/>
      <c r="GU117" s="72"/>
      <c r="GV117" s="72"/>
      <c r="GW117" s="72"/>
      <c r="GX117" s="72"/>
      <c r="GY117" s="72"/>
      <c r="GZ117" s="72"/>
      <c r="HA117" s="72"/>
      <c r="HB117" s="72"/>
      <c r="HC117" s="72"/>
      <c r="HD117" s="72"/>
      <c r="HE117" s="72"/>
      <c r="HF117" s="72"/>
      <c r="HG117" s="72"/>
      <c r="HH117" s="72"/>
      <c r="HI117" s="72"/>
      <c r="HJ117" s="72"/>
      <c r="HK117" s="72"/>
      <c r="HL117" s="72"/>
      <c r="HM117" s="72"/>
      <c r="HN117" s="72"/>
      <c r="HO117" s="72"/>
      <c r="HP117" s="72"/>
      <c r="HQ117" s="72"/>
      <c r="HR117" s="72"/>
      <c r="HS117" s="72"/>
      <c r="HT117" s="72"/>
      <c r="HU117" s="72"/>
      <c r="HV117" s="72"/>
      <c r="HW117" s="72"/>
      <c r="HX117" s="72"/>
      <c r="HY117" s="72"/>
      <c r="HZ117" s="72"/>
      <c r="IA117" s="72"/>
      <c r="IB117" s="72"/>
      <c r="IC117" s="72"/>
      <c r="ID117" s="72"/>
      <c r="IE117" s="72"/>
      <c r="IF117" s="72"/>
      <c r="IG117" s="72"/>
      <c r="IH117" s="72"/>
      <c r="II117" s="72"/>
      <c r="IJ117" s="72"/>
      <c r="IK117" s="72"/>
      <c r="IL117" s="72"/>
      <c r="IM117" s="72"/>
      <c r="IN117" s="72"/>
      <c r="IO117" s="72"/>
      <c r="IP117" s="72"/>
      <c r="IQ117" s="72"/>
      <c r="IR117" s="72"/>
      <c r="IS117" s="72"/>
      <c r="IT117" s="72"/>
      <c r="IU117" s="72"/>
      <c r="IV117" s="72"/>
    </row>
    <row r="118" spans="1:256" ht="12.75">
      <c r="A118" t="s">
        <v>93</v>
      </c>
      <c r="B118" s="31">
        <f>-B41*(B117-$D$4)</f>
        <v>0.31813519509815424</v>
      </c>
      <c r="C118" s="31">
        <f>-C41*(C117-$D$4)</f>
        <v>0.2566654805139069</v>
      </c>
      <c r="D118" s="31">
        <f>-D41*(D117-$D$4)</f>
        <v>0.16428574752686173</v>
      </c>
      <c r="E118" s="31">
        <f>-E41*(E117-$D$4)</f>
        <v>0.05145426476226122</v>
      </c>
      <c r="F118" s="31">
        <f>-F41*(F117-$D$4)</f>
        <v>-0.06712393571628199</v>
      </c>
      <c r="G118" s="31">
        <f>-G41*(G117-$D$4)</f>
        <v>-0.17626671279960335</v>
      </c>
      <c r="H118" s="31">
        <f>-H41*(H117-$D$4)</f>
        <v>-0.2636188312179363</v>
      </c>
      <c r="I118" s="31">
        <f>-I41*(I117-$D$4)</f>
        <v>-0.3215180224660972</v>
      </c>
      <c r="J118" s="31">
        <f>-J41*(J117-$D$4)</f>
        <v>-0.34739903232260594</v>
      </c>
      <c r="K118" s="31">
        <f>-K41*(K117-$D$4)</f>
        <v>-0.3431742812151207</v>
      </c>
      <c r="L118" s="31">
        <f>-L41*(L117-$D$4)</f>
        <v>-0.31402927353538945</v>
      </c>
      <c r="M118" s="31">
        <f>-M41*(M117-$D$4)</f>
        <v>-0.26692652452597787</v>
      </c>
      <c r="N118" s="2">
        <f>-N41*(N117-$D$4)</f>
        <v>-0.20904798823264756</v>
      </c>
      <c r="O118" s="2">
        <f>-O41*(O117-$D$4)</f>
        <v>-0.14644844246908392</v>
      </c>
      <c r="P118" s="2">
        <f>-P41*(P117-$D$4)</f>
        <v>-0.08321828614310008</v>
      </c>
      <c r="Q118" s="2">
        <f>-Q41*(Q117-$D$4)</f>
        <v>-0.021331491490316642</v>
      </c>
      <c r="R118" s="2">
        <f>-R41*(R117-$D$4)</f>
        <v>0.03889147192771205</v>
      </c>
      <c r="S118" s="2">
        <f>-S41*(S117-$D$4)</f>
        <v>0.09796147568435179</v>
      </c>
      <c r="T118" s="2">
        <f>-T41*(T117-$D$4)</f>
        <v>0.15629203346345538</v>
      </c>
      <c r="U118" s="2">
        <f>-U41*(U117-$D$4)</f>
        <v>0.2132955216868097</v>
      </c>
      <c r="V118" s="2">
        <f>-V41*(V117-$D$4)</f>
        <v>0.2665653641796557</v>
      </c>
      <c r="W118" s="2">
        <f>-W41*(W117-$D$4)</f>
        <v>0.31129126795895423</v>
      </c>
      <c r="X118" s="2">
        <f>-X41*(X117-$D$4)</f>
        <v>0.3402675349515036</v>
      </c>
      <c r="Y118" s="2">
        <f>-Y41*(Y117-$D$4)</f>
        <v>0.3449974643805349</v>
      </c>
      <c r="Z118" s="2">
        <f>-Z41*(Z117-$D$4)</f>
        <v>0.3181351950981542</v>
      </c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</row>
    <row r="119" spans="1:256" ht="12.75">
      <c r="A119" t="s">
        <v>94</v>
      </c>
      <c r="B119" s="31">
        <f>B41*(B116-$D$3)</f>
        <v>0.3793150403093377</v>
      </c>
      <c r="C119" s="31">
        <f>C41*(C116-$D$3)</f>
        <v>0.28875026632953243</v>
      </c>
      <c r="D119" s="31">
        <f>D41*(D116-$D$3)</f>
        <v>0.17736947418213278</v>
      </c>
      <c r="E119" s="31">
        <f>E41*(E116-$D$3)</f>
        <v>0.05441456785401767</v>
      </c>
      <c r="F119" s="31">
        <f>F41*(F116-$D$3)</f>
        <v>-0.0710931542678516</v>
      </c>
      <c r="G119" s="31">
        <f>G41*(G116-$D$3)</f>
        <v>-0.19110958027165856</v>
      </c>
      <c r="H119" s="31">
        <f>H41*(H116-$D$3)</f>
        <v>-0.298415979579212</v>
      </c>
      <c r="I119" s="31">
        <f>I41*(I116-$D$3)</f>
        <v>-0.38622760275694273</v>
      </c>
      <c r="J119" s="31">
        <f>J41*(J116-$D$3)</f>
        <v>-0.4481813772586167</v>
      </c>
      <c r="K119" s="31">
        <f>K41*(K116-$D$3)</f>
        <v>-0.4789190142380429</v>
      </c>
      <c r="L119" s="31">
        <f>L41*(L116-$D$3)</f>
        <v>-0.47510367102675227</v>
      </c>
      <c r="M119" s="31">
        <f>M41*(M116-$D$3)</f>
        <v>-0.4364652289771846</v>
      </c>
      <c r="N119" s="2">
        <f>N41*(N116-$D$3)</f>
        <v>-0.3663585505976955</v>
      </c>
      <c r="O119" s="2">
        <f>O41*(O116-$D$3)</f>
        <v>-0.2714158175155018</v>
      </c>
      <c r="P119" s="2">
        <f>P41*(P116-$D$3)</f>
        <v>-0.16026645095905392</v>
      </c>
      <c r="Q119" s="2">
        <f>Q41*(Q116-$D$3)</f>
        <v>-0.041832576855974926</v>
      </c>
      <c r="R119" s="2">
        <f>R41*(R116-$D$3)</f>
        <v>0.07603084705135643</v>
      </c>
      <c r="S119" s="2">
        <f>S41*(S116-$D$3)</f>
        <v>0.18703953552196276</v>
      </c>
      <c r="T119" s="2">
        <f>T41*(T116-$D$3)</f>
        <v>0.2861496229563292</v>
      </c>
      <c r="U119" s="2">
        <f>U41*(U116-$D$3)</f>
        <v>0.36880851447461094</v>
      </c>
      <c r="V119" s="2">
        <f>V41*(V116-$D$3)</f>
        <v>0.4303037581149478</v>
      </c>
      <c r="W119" s="2">
        <f>W41*(W116-$D$3)</f>
        <v>0.46564716876576817</v>
      </c>
      <c r="X119" s="2">
        <f>X41*(X116-$D$3)</f>
        <v>0.4702504411167116</v>
      </c>
      <c r="Y119" s="2">
        <f>Y41*(Y116-$D$3)</f>
        <v>0.44130976762777957</v>
      </c>
      <c r="Z119" s="2">
        <f>Z41*(Z116-$D$3)</f>
        <v>0.37931504030933766</v>
      </c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</row>
    <row r="120" spans="1:256" ht="12.75">
      <c r="A120" t="s">
        <v>95</v>
      </c>
      <c r="B120" s="31">
        <f>-B41*B119-B45*(B117-$D$4)</f>
        <v>-0.16873353072056532</v>
      </c>
      <c r="C120" s="31">
        <f>-C41*C119-C45*(C117-$D$4)</f>
        <v>-0.298512236730606</v>
      </c>
      <c r="D120" s="31">
        <f>-D41*D119-D45*(D117-$D$4)</f>
        <v>-0.4003848471889798</v>
      </c>
      <c r="E120" s="31">
        <f>-E41*E119-E45*(E117-$D$4)</f>
        <v>-0.45196493369092244</v>
      </c>
      <c r="F120" s="31">
        <f>-F41*F119-F45*(F117-$D$4)</f>
        <v>-0.4440212109857006</v>
      </c>
      <c r="G120" s="31">
        <f>-G41*G119-G45*(G117-$D$4)</f>
        <v>-0.3817845670372971</v>
      </c>
      <c r="H120" s="31">
        <f>-H41*H119-H45*(H117-$D$4)</f>
        <v>-0.2806375481664506</v>
      </c>
      <c r="I120" s="31">
        <f>-I41*I119-I45*(I117-$D$4)</f>
        <v>-0.16009018543893183</v>
      </c>
      <c r="J120" s="31">
        <f>-J41*J119-J45*(J117-$D$4)</f>
        <v>-0.038922826202067246</v>
      </c>
      <c r="K120" s="31">
        <f>-K41*K119-K45*(K117-$D$4)</f>
        <v>0.06779922438867284</v>
      </c>
      <c r="L120" s="31">
        <f>-L41*L119-L45*(L117-$D$4)</f>
        <v>0.15031810490342767</v>
      </c>
      <c r="M120" s="31">
        <f>-M41*M119-M45*(M117-$D$4)</f>
        <v>0.20485949557981992</v>
      </c>
      <c r="N120" s="2">
        <f>-N41*N119-N45*(N117-$D$4)</f>
        <v>0.2333902161926969</v>
      </c>
      <c r="O120" s="2">
        <f>-O41*O119-O45*(O117-$D$4)</f>
        <v>0.2422221290099642</v>
      </c>
      <c r="P120" s="2">
        <f>-P41*P119-P45*(P117-$D$4)</f>
        <v>0.2395961701477808</v>
      </c>
      <c r="Q120" s="2">
        <f>-Q41*Q119-Q45*(Q117-$D$4)</f>
        <v>0.23303494487187912</v>
      </c>
      <c r="R120" s="2">
        <f>-R41*R119-R45*(R117-$D$4)</f>
        <v>0.22742005265211315</v>
      </c>
      <c r="S120" s="2">
        <f>-S41*S119-S45*(S117-$D$4)</f>
        <v>0.22416260288090858</v>
      </c>
      <c r="T120" s="2">
        <f>-T41*T119-T45*(T117-$D$4)</f>
        <v>0.2211291045768175</v>
      </c>
      <c r="U120" s="2">
        <f>-U41*U119-U45*(U117-$D$4)</f>
        <v>0.2128539472077865</v>
      </c>
      <c r="V120" s="2">
        <f>-V41*V119-V45*(V117-$D$4)</f>
        <v>0.19104002554370458</v>
      </c>
      <c r="W120" s="2">
        <f>-W41*W119-W45*(W117-$D$4)</f>
        <v>0.14598639732097413</v>
      </c>
      <c r="X120" s="2">
        <f>-X41*X119-X45*(X117-$D$4)</f>
        <v>0.06980629025043535</v>
      </c>
      <c r="Y120" s="2">
        <f>-Y41*Y119-Y45*(Y117-$D$4)</f>
        <v>-0.038566819365459755</v>
      </c>
      <c r="Z120" s="2">
        <f>-Z41*Z119-Z45*(Z117-$D$4)</f>
        <v>-0.16873353072056535</v>
      </c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</row>
    <row r="121" spans="1:256" ht="12.75">
      <c r="A121" t="s">
        <v>96</v>
      </c>
      <c r="B121" s="31">
        <f>B41*B118+B45*(B116-$D$3)</f>
        <v>-0.29544763361491067</v>
      </c>
      <c r="C121" s="31">
        <f>C41*C118+C45*(C116-$D$3)</f>
        <v>-0.3913541632937393</v>
      </c>
      <c r="D121" s="31">
        <f>D41*D118+D45*(D116-$D$3)</f>
        <v>-0.4535308522238389</v>
      </c>
      <c r="E121" s="31">
        <f>E41*E118+E45*(E116-$D$3)</f>
        <v>-0.4799852424251095</v>
      </c>
      <c r="F121" s="31">
        <f>F41*F118+F45*(F116-$D$3)</f>
        <v>-0.4737190971407177</v>
      </c>
      <c r="G121" s="31">
        <f>G41*G118+G45*(G116-$D$3)</f>
        <v>-0.4385743314743315</v>
      </c>
      <c r="H121" s="31">
        <f>H41*H118+H45*(H116-$D$3)</f>
        <v>-0.37686947954988526</v>
      </c>
      <c r="I121" s="31">
        <f>I41*I118+I45*(I116-$D$3)</f>
        <v>-0.2898722205457524</v>
      </c>
      <c r="J121" s="31">
        <f>J41*J118+J45*(J116-$D$3)</f>
        <v>-0.17993999289898024</v>
      </c>
      <c r="K121" s="31">
        <f>K41*K118+K45*(K116-$D$3)</f>
        <v>-0.05268242752483366</v>
      </c>
      <c r="L121" s="31">
        <f>L41*L118+L45*(L116-$D$3)</f>
        <v>0.08204134303962948</v>
      </c>
      <c r="M121" s="31">
        <f>M41*M118+M45*(M116-$D$3)</f>
        <v>0.21097727260512744</v>
      </c>
      <c r="N121" s="2">
        <f>N41*N118+N45*(N116-$D$3)</f>
        <v>0.3202895424181438</v>
      </c>
      <c r="O121" s="2">
        <f>O41*O118+O45*(O116-$D$3)</f>
        <v>0.3994093702380002</v>
      </c>
      <c r="P121" s="2">
        <f>P41*P118+P45*(P116-$D$3)</f>
        <v>0.4439375388681394</v>
      </c>
      <c r="Q121" s="2">
        <f>Q41*Q118+Q45*(Q116-$D$3)</f>
        <v>0.4557984715503201</v>
      </c>
      <c r="R121" s="2">
        <f>R41*R118+R45*(R116-$D$3)</f>
        <v>0.4406363852536317</v>
      </c>
      <c r="S121" s="2">
        <f>S41*S118+S45*(S116-$D$3)</f>
        <v>0.40424914844056836</v>
      </c>
      <c r="T121" s="2">
        <f>T41*T118+T45*(T116-$D$3)</f>
        <v>0.3500434011841833</v>
      </c>
      <c r="U121" s="2">
        <f>U41*U118+U45*(U116-$D$3)</f>
        <v>0.27843392725422667</v>
      </c>
      <c r="V121" s="2">
        <f>V41*V118+V45*(V116-$D$3)</f>
        <v>0.18813614777616022</v>
      </c>
      <c r="W121" s="2">
        <f>W41*W118+W45*(W116-$D$3)</f>
        <v>0.07885302351430044</v>
      </c>
      <c r="X121" s="2">
        <f>X41*X118+X45*(X116-$D$3)</f>
        <v>-0.04557730287942536</v>
      </c>
      <c r="Y121" s="2">
        <f>Y41*Y118+Y45*(Y116-$D$3)</f>
        <v>-0.17525282857090677</v>
      </c>
      <c r="Z121" s="2">
        <f>Z41*Z118+Z45*(Z116-$D$3)</f>
        <v>-0.2954476336149106</v>
      </c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</row>
    <row r="122" spans="1:26" s="71" customFormat="1" ht="12.75">
      <c r="A122" s="13"/>
      <c r="B122" s="44"/>
      <c r="C122" s="56" t="s">
        <v>221</v>
      </c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56" ht="12.75">
      <c r="A123" t="s">
        <v>109</v>
      </c>
      <c r="B123" s="54">
        <f>$F$3+($I$6-$F$3)*COS(B77-$B$77)-($K$6-$F$4)*SIN(B77-$B$77)</f>
        <v>5.1</v>
      </c>
      <c r="C123" s="54">
        <f>$F$3+($I$6-$F$3)*COS(C77-$B$77)-($K$6-$F$4)*SIN(C77-$B$77)</f>
        <v>5.240645881457674</v>
      </c>
      <c r="D123" s="54">
        <f>$F$3+($I$6-$F$3)*COS(D77-$B$77)-($K$6-$F$4)*SIN(D77-$B$77)</f>
        <v>5.334903843191804</v>
      </c>
      <c r="E123" s="54">
        <f>$F$3+($I$6-$F$3)*COS(E77-$B$77)-($K$6-$F$4)*SIN(E77-$B$77)</f>
        <v>5.380645532410872</v>
      </c>
      <c r="F123" s="54">
        <f>$F$3+($I$6-$F$3)*COS(F77-$B$77)-($K$6-$F$4)*SIN(F77-$B$77)</f>
        <v>5.377339573193712</v>
      </c>
      <c r="G123" s="54">
        <f>$F$3+($I$6-$F$3)*COS(G77-$B$77)-($K$6-$F$4)*SIN(G77-$B$77)</f>
        <v>5.325438469942849</v>
      </c>
      <c r="H123" s="54">
        <f>$F$3+($I$6-$F$3)*COS(H77-$B$77)-($K$6-$F$4)*SIN(H77-$B$77)</f>
        <v>5.226076252454174</v>
      </c>
      <c r="I123" s="54">
        <f>$F$3+($I$6-$F$3)*COS(I77-$B$77)-($K$6-$F$4)*SIN(I77-$B$77)</f>
        <v>5.081226846567218</v>
      </c>
      <c r="J123" s="54">
        <f>$F$3+($I$6-$F$3)*COS(J77-$B$77)-($K$6-$F$4)*SIN(J77-$B$77)</f>
        <v>4.894500836697355</v>
      </c>
      <c r="K123" s="54">
        <f>$F$3+($I$6-$F$3)*COS(K77-$B$77)-($K$6-$F$4)*SIN(K77-$B$77)</f>
        <v>4.6726627754376775</v>
      </c>
      <c r="L123" s="54">
        <f>$F$3+($I$6-$F$3)*COS(L77-$B$77)-($K$6-$F$4)*SIN(L77-$B$77)</f>
        <v>4.427543737167088</v>
      </c>
      <c r="M123" s="54">
        <f>$F$3+($I$6-$F$3)*COS(M77-$B$77)-($K$6-$F$4)*SIN(M77-$B$77)</f>
        <v>4.1772102096293855</v>
      </c>
      <c r="N123" s="54">
        <f>$F$3+($I$6-$F$3)*COS(N77-$B$77)-($K$6-$F$4)*SIN(N77-$B$77)</f>
        <v>3.9446434002908433</v>
      </c>
      <c r="O123" s="54">
        <f>$F$3+($I$6-$F$3)*COS(O77-$B$77)-($K$6-$F$4)*SIN(O77-$B$77)</f>
        <v>3.7532429202317372</v>
      </c>
      <c r="P123" s="54">
        <f>$F$3+($I$6-$F$3)*COS(P77-$B$77)-($K$6-$F$4)*SIN(P77-$B$77)</f>
        <v>3.6213338958083607</v>
      </c>
      <c r="Q123" s="54">
        <f>$F$3+($I$6-$F$3)*COS(Q77-$B$77)-($K$6-$F$4)*SIN(Q77-$B$77)</f>
        <v>3.559243489675392</v>
      </c>
      <c r="R123" s="54">
        <f>$F$3+($I$6-$F$3)*COS(R77-$B$77)-($K$6-$F$4)*SIN(R77-$B$77)</f>
        <v>3.5699425761331014</v>
      </c>
      <c r="S123" s="54">
        <f>$F$3+($I$6-$F$3)*COS(S77-$B$77)-($K$6-$F$4)*SIN(S77-$B$77)</f>
        <v>3.6509455903835963</v>
      </c>
      <c r="T123" s="54">
        <f>$F$3+($I$6-$F$3)*COS(T77-$B$77)-($K$6-$F$4)*SIN(T77-$B$77)</f>
        <v>3.795107049805295</v>
      </c>
      <c r="U123" s="54">
        <f>$F$3+($I$6-$F$3)*COS(U77-$B$77)-($K$6-$F$4)*SIN(U77-$B$77)</f>
        <v>3.9902835558273244</v>
      </c>
      <c r="V123" s="54">
        <f>$F$3+($I$6-$F$3)*COS(V77-$B$77)-($K$6-$F$4)*SIN(V77-$B$77)</f>
        <v>4.21951781523886</v>
      </c>
      <c r="W123" s="54">
        <f>$F$3+($I$6-$F$3)*COS(W77-$B$77)-($K$6-$F$4)*SIN(W77-$B$77)</f>
        <v>4.462979228730259</v>
      </c>
      <c r="X123" s="54">
        <f>$F$3+($I$6-$F$3)*COS(X77-$B$77)-($K$6-$F$4)*SIN(X77-$B$77)</f>
        <v>4.70113522848485</v>
      </c>
      <c r="Y123" s="54">
        <f>$F$3+($I$6-$F$3)*COS(Y77-$B$77)-($K$6-$F$4)*SIN(Y77-$B$77)</f>
        <v>4.9175197200658785</v>
      </c>
      <c r="Z123" s="54">
        <f>$F$3+($I$6-$F$3)*COS(Z77-$B$77)-($K$6-$F$4)*SIN(Z77-$B$77)</f>
        <v>5.1</v>
      </c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69"/>
      <c r="FY123" s="69"/>
      <c r="FZ123" s="69"/>
      <c r="GA123" s="69"/>
      <c r="GB123" s="69"/>
      <c r="GC123" s="69"/>
      <c r="GD123" s="69"/>
      <c r="GE123" s="69"/>
      <c r="GF123" s="69"/>
      <c r="GG123" s="69"/>
      <c r="GH123" s="69"/>
      <c r="GI123" s="69"/>
      <c r="GJ123" s="69"/>
      <c r="GK123" s="69"/>
      <c r="GL123" s="69"/>
      <c r="GM123" s="69"/>
      <c r="GN123" s="69"/>
      <c r="GO123" s="69"/>
      <c r="GP123" s="69"/>
      <c r="GQ123" s="69"/>
      <c r="GR123" s="69"/>
      <c r="GS123" s="69"/>
      <c r="GT123" s="69"/>
      <c r="GU123" s="69"/>
      <c r="GV123" s="69"/>
      <c r="GW123" s="69"/>
      <c r="GX123" s="69"/>
      <c r="GY123" s="69"/>
      <c r="GZ123" s="69"/>
      <c r="HA123" s="69"/>
      <c r="HB123" s="69"/>
      <c r="HC123" s="69"/>
      <c r="HD123" s="69"/>
      <c r="HE123" s="69"/>
      <c r="HF123" s="69"/>
      <c r="HG123" s="69"/>
      <c r="HH123" s="69"/>
      <c r="HI123" s="69"/>
      <c r="HJ123" s="69"/>
      <c r="HK123" s="69"/>
      <c r="HL123" s="69"/>
      <c r="HM123" s="69"/>
      <c r="HN123" s="69"/>
      <c r="HO123" s="69"/>
      <c r="HP123" s="69"/>
      <c r="HQ123" s="69"/>
      <c r="HR123" s="69"/>
      <c r="HS123" s="69"/>
      <c r="HT123" s="69"/>
      <c r="HU123" s="69"/>
      <c r="HV123" s="69"/>
      <c r="HW123" s="69"/>
      <c r="HX123" s="69"/>
      <c r="HY123" s="69"/>
      <c r="HZ123" s="69"/>
      <c r="IA123" s="69"/>
      <c r="IB123" s="69"/>
      <c r="IC123" s="69"/>
      <c r="ID123" s="69"/>
      <c r="IE123" s="69"/>
      <c r="IF123" s="69"/>
      <c r="IG123" s="69"/>
      <c r="IH123" s="69"/>
      <c r="II123" s="69"/>
      <c r="IJ123" s="69"/>
      <c r="IK123" s="69"/>
      <c r="IL123" s="69"/>
      <c r="IM123" s="69"/>
      <c r="IN123" s="69"/>
      <c r="IO123" s="69"/>
      <c r="IP123" s="69"/>
      <c r="IQ123" s="69"/>
      <c r="IR123" s="69"/>
      <c r="IS123" s="69"/>
      <c r="IT123" s="69"/>
      <c r="IU123" s="69"/>
      <c r="IV123" s="69"/>
    </row>
    <row r="124" spans="1:256" ht="12.75">
      <c r="A124" t="s">
        <v>110</v>
      </c>
      <c r="B124" s="55">
        <f>$F$4+($I$6-$F$3)*SIN(B77-$B$77)+($K$6-$F$4)*COS(B77-$B$77)</f>
        <v>2.9</v>
      </c>
      <c r="C124" s="55">
        <f>$F$4+($I$6-$F$3)*SIN(C77-$B$77)+($K$6-$F$4)*COS(C77-$B$77)</f>
        <v>2.891727781057107</v>
      </c>
      <c r="D124" s="55">
        <f>$F$4+($I$6-$F$3)*SIN(D77-$B$77)+($K$6-$F$4)*COS(D77-$B$77)</f>
        <v>2.882332287543433</v>
      </c>
      <c r="E124" s="55">
        <f>$F$4+($I$6-$F$3)*SIN(E77-$B$77)+($K$6-$F$4)*COS(E77-$B$77)</f>
        <v>2.8766489147366667</v>
      </c>
      <c r="F124" s="55">
        <f>$F$4+($I$6-$F$3)*SIN(F77-$B$77)+($K$6-$F$4)*COS(F77-$B$77)</f>
        <v>2.8770844350665112</v>
      </c>
      <c r="G124" s="55">
        <f>$F$4+($I$6-$F$3)*SIN(G77-$B$77)+($K$6-$F$4)*COS(G77-$B$77)</f>
        <v>2.8834163421679597</v>
      </c>
      <c r="H124" s="55">
        <f>$F$4+($I$6-$F$3)*SIN(H77-$B$77)+($K$6-$F$4)*COS(H77-$B$77)</f>
        <v>2.892903304308023</v>
      </c>
      <c r="I124" s="55">
        <f>$F$4+($I$6-$F$3)*SIN(I77-$B$77)+($K$6-$F$4)*COS(I77-$B$77)</f>
        <v>2.900586526790184</v>
      </c>
      <c r="J124" s="55">
        <f>$F$4+($I$6-$F$3)*SIN(J77-$B$77)+($K$6-$F$4)*COS(J77-$B$77)</f>
        <v>2.89980515320296</v>
      </c>
      <c r="K124" s="55">
        <f>$F$4+($I$6-$F$3)*SIN(K77-$B$77)+($K$6-$F$4)*COS(K77-$B$77)</f>
        <v>2.883201404934424</v>
      </c>
      <c r="L124" s="55">
        <f>$F$4+($I$6-$F$3)*SIN(L77-$B$77)+($K$6-$F$4)*COS(L77-$B$77)</f>
        <v>2.8446957354246827</v>
      </c>
      <c r="M124" s="55">
        <f>$F$4+($I$6-$F$3)*SIN(M77-$B$77)+($K$6-$F$4)*COS(M77-$B$77)</f>
        <v>2.7826277079160047</v>
      </c>
      <c r="N124" s="55">
        <f>$F$4+($I$6-$F$3)*SIN(N77-$B$77)+($K$6-$F$4)*COS(N77-$B$77)</f>
        <v>2.70300248750354</v>
      </c>
      <c r="O124" s="55">
        <f>$F$4+($I$6-$F$3)*SIN(O77-$B$77)+($K$6-$F$4)*COS(O77-$B$77)</f>
        <v>2.6202283839481844</v>
      </c>
      <c r="P124" s="55">
        <f>$F$4+($I$6-$F$3)*SIN(P77-$B$77)+($K$6-$F$4)*COS(P77-$B$77)</f>
        <v>2.5532880317647377</v>
      </c>
      <c r="Q124" s="55">
        <f>$F$4+($I$6-$F$3)*SIN(Q77-$B$77)+($K$6-$F$4)*COS(Q77-$B$77)</f>
        <v>2.5187736456373484</v>
      </c>
      <c r="R124" s="55">
        <f>$F$4+($I$6-$F$3)*SIN(R77-$B$77)+($K$6-$F$4)*COS(R77-$B$77)</f>
        <v>2.5248635140227225</v>
      </c>
      <c r="S124" s="55">
        <f>$F$4+($I$6-$F$3)*SIN(S77-$B$77)+($K$6-$F$4)*COS(S77-$B$77)</f>
        <v>2.5690566751036337</v>
      </c>
      <c r="T124" s="55">
        <f>$F$4+($I$6-$F$3)*SIN(T77-$B$77)+($K$6-$F$4)*COS(T77-$B$77)</f>
        <v>2.639741081729627</v>
      </c>
      <c r="U124" s="55">
        <f>$F$4+($I$6-$F$3)*SIN(U77-$B$77)+($K$6-$F$4)*COS(U77-$B$77)</f>
        <v>2.720380984782699</v>
      </c>
      <c r="V124" s="55">
        <f>$F$4+($I$6-$F$3)*SIN(V77-$B$77)+($K$6-$F$4)*COS(V77-$B$77)</f>
        <v>2.7947893586584436</v>
      </c>
      <c r="W124" s="55">
        <f>$F$4+($I$6-$F$3)*SIN(W77-$B$77)+($K$6-$F$4)*COS(W77-$B$77)</f>
        <v>2.851597568245711</v>
      </c>
      <c r="X124" s="55">
        <f>$F$4+($I$6-$F$3)*SIN(X77-$B$77)+($K$6-$F$4)*COS(X77-$B$77)</f>
        <v>2.886291712274973</v>
      </c>
      <c r="Y124" s="55">
        <f>$F$4+($I$6-$F$3)*SIN(Y77-$B$77)+($K$6-$F$4)*COS(Y77-$B$77)</f>
        <v>2.9005511551120744</v>
      </c>
      <c r="Z124" s="55">
        <f>$F$4+($I$6-$F$3)*SIN(Z77-$B$77)+($K$6-$F$4)*COS(Z77-$B$77)</f>
        <v>2.9</v>
      </c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3"/>
      <c r="IC124" s="73"/>
      <c r="ID124" s="73"/>
      <c r="IE124" s="73"/>
      <c r="IF124" s="73"/>
      <c r="IG124" s="73"/>
      <c r="IH124" s="73"/>
      <c r="II124" s="73"/>
      <c r="IJ124" s="73"/>
      <c r="IK124" s="73"/>
      <c r="IL124" s="73"/>
      <c r="IM124" s="73"/>
      <c r="IN124" s="73"/>
      <c r="IO124" s="73"/>
      <c r="IP124" s="73"/>
      <c r="IQ124" s="73"/>
      <c r="IR124" s="73"/>
      <c r="IS124" s="73"/>
      <c r="IT124" s="73"/>
      <c r="IU124" s="73"/>
      <c r="IV124" s="73"/>
    </row>
    <row r="125" spans="1:256" ht="12.75">
      <c r="A125" t="s">
        <v>111</v>
      </c>
      <c r="B125" s="54">
        <f>-B82*(B124-$F$4)</f>
        <v>0.6209754288935126</v>
      </c>
      <c r="C125" s="54">
        <f>-C82*(C124-$F$4)</f>
        <v>0.4506435719007614</v>
      </c>
      <c r="D125" s="54">
        <f>-D82*(D124-$F$4)</f>
        <v>0.2681325589570381</v>
      </c>
      <c r="E125" s="54">
        <f>-E82*(E124-$F$4)</f>
        <v>0.08100976824662569</v>
      </c>
      <c r="F125" s="54">
        <f>-F82*(F124-$F$4)</f>
        <v>-0.10595671377117098</v>
      </c>
      <c r="G125" s="54">
        <f>-G82*(G124-$F$4)</f>
        <v>-0.28982488061267475</v>
      </c>
      <c r="H125" s="54">
        <f>-H82*(H124-$F$4)</f>
        <v>-0.4680394161210339</v>
      </c>
      <c r="I125" s="54">
        <f>-I82*(I124-$F$4)</f>
        <v>-0.6363287097966268</v>
      </c>
      <c r="J125" s="54">
        <f>-J82*(J124-$F$4)</f>
        <v>-0.7859785125606273</v>
      </c>
      <c r="K125" s="54">
        <f>-K82*(K124-$F$4)</f>
        <v>-0.901300606428183</v>
      </c>
      <c r="L125" s="54">
        <f>-L82*(L124-$F$4)</f>
        <v>-0.959695792353677</v>
      </c>
      <c r="M125" s="54">
        <f>-M82*(M124-$F$4)</f>
        <v>-0.9377728977415947</v>
      </c>
      <c r="N125" s="54">
        <f>-N82*(N124-$F$4)</f>
        <v>-0.8236193343718474</v>
      </c>
      <c r="O125" s="54">
        <f>-O82*(O124-$F$4)</f>
        <v>-0.6267100153239643</v>
      </c>
      <c r="P125" s="54">
        <f>-P82*(P124-$F$4)</f>
        <v>-0.37449508984942526</v>
      </c>
      <c r="Q125" s="54">
        <f>-Q82*(Q124-$F$4)</f>
        <v>-0.09809588678398284</v>
      </c>
      <c r="R125" s="54">
        <f>-R82*(R124-$F$4)</f>
        <v>0.17819916081883755</v>
      </c>
      <c r="S125" s="54">
        <f>-S82*(S124-$F$4)</f>
        <v>0.43610975768484767</v>
      </c>
      <c r="T125" s="54">
        <f>-T82*(T124-$F$4)</f>
        <v>0.6574739433996528</v>
      </c>
      <c r="U125" s="54">
        <f>-U82*(U124-$F$4)</f>
        <v>0.8226397166599839</v>
      </c>
      <c r="V125" s="54">
        <f>-V82*(V124-$F$4)</f>
        <v>0.9157364666923156</v>
      </c>
      <c r="W125" s="54">
        <f>-W82*(W124-$F$4)</f>
        <v>0.9315496291701201</v>
      </c>
      <c r="X125" s="54">
        <f>-X82*(X124-$F$4)</f>
        <v>0.8772672196263326</v>
      </c>
      <c r="Y125" s="54">
        <f>-Y82*(Y124-$F$4)</f>
        <v>0.7680806336647782</v>
      </c>
      <c r="Z125" s="54">
        <f>-Z82*(Z124-$F$4)</f>
        <v>0.6209754288935125</v>
      </c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  <c r="GA125" s="69"/>
      <c r="GB125" s="69"/>
      <c r="GC125" s="69"/>
      <c r="GD125" s="69"/>
      <c r="GE125" s="69"/>
      <c r="GF125" s="69"/>
      <c r="GG125" s="69"/>
      <c r="GH125" s="69"/>
      <c r="GI125" s="69"/>
      <c r="GJ125" s="69"/>
      <c r="GK125" s="69"/>
      <c r="GL125" s="69"/>
      <c r="GM125" s="69"/>
      <c r="GN125" s="69"/>
      <c r="GO125" s="69"/>
      <c r="GP125" s="69"/>
      <c r="GQ125" s="69"/>
      <c r="GR125" s="69"/>
      <c r="GS125" s="69"/>
      <c r="GT125" s="69"/>
      <c r="GU125" s="69"/>
      <c r="GV125" s="69"/>
      <c r="GW125" s="69"/>
      <c r="GX125" s="69"/>
      <c r="GY125" s="69"/>
      <c r="GZ125" s="69"/>
      <c r="HA125" s="69"/>
      <c r="HB125" s="69"/>
      <c r="HC125" s="69"/>
      <c r="HD125" s="69"/>
      <c r="HE125" s="69"/>
      <c r="HF125" s="69"/>
      <c r="HG125" s="69"/>
      <c r="HH125" s="69"/>
      <c r="HI125" s="69"/>
      <c r="HJ125" s="69"/>
      <c r="HK125" s="69"/>
      <c r="HL125" s="69"/>
      <c r="HM125" s="69"/>
      <c r="HN125" s="69"/>
      <c r="HO125" s="69"/>
      <c r="HP125" s="69"/>
      <c r="HQ125" s="69"/>
      <c r="HR125" s="69"/>
      <c r="HS125" s="69"/>
      <c r="HT125" s="69"/>
      <c r="HU125" s="69"/>
      <c r="HV125" s="69"/>
      <c r="HW125" s="69"/>
      <c r="HX125" s="69"/>
      <c r="HY125" s="69"/>
      <c r="HZ125" s="69"/>
      <c r="IA125" s="69"/>
      <c r="IB125" s="69"/>
      <c r="IC125" s="69"/>
      <c r="ID125" s="69"/>
      <c r="IE125" s="69"/>
      <c r="IF125" s="69"/>
      <c r="IG125" s="69"/>
      <c r="IH125" s="69"/>
      <c r="II125" s="69"/>
      <c r="IJ125" s="69"/>
      <c r="IK125" s="69"/>
      <c r="IL125" s="69"/>
      <c r="IM125" s="69"/>
      <c r="IN125" s="69"/>
      <c r="IO125" s="69"/>
      <c r="IP125" s="69"/>
      <c r="IQ125" s="69"/>
      <c r="IR125" s="69"/>
      <c r="IS125" s="69"/>
      <c r="IT125" s="69"/>
      <c r="IU125" s="69"/>
      <c r="IV125" s="69"/>
    </row>
    <row r="126" spans="1:256" ht="12.75">
      <c r="A126" t="s">
        <v>112</v>
      </c>
      <c r="B126" s="54">
        <f>B82*(B123-$F$3)</f>
        <v>-0.02141294582391415</v>
      </c>
      <c r="C126" s="54">
        <f>C82*(C123-$F$3)</f>
        <v>-0.037501980751331196</v>
      </c>
      <c r="D126" s="54">
        <f>D82*(D123-$F$3)</f>
        <v>-0.031154848060942694</v>
      </c>
      <c r="E126" s="54">
        <f>E82*(E123-$F$3)</f>
        <v>-0.010719419462955555</v>
      </c>
      <c r="F126" s="54">
        <f>F82*(F123-$F$3)</f>
        <v>0.013896589430646202</v>
      </c>
      <c r="G126" s="54">
        <f>G82*(G123-$F$3)</f>
        <v>0.03271125446526432</v>
      </c>
      <c r="H126" s="54">
        <f>H82*(H123-$F$3)</f>
        <v>0.03657661043834758</v>
      </c>
      <c r="I126" s="54">
        <f>I82*(I123-$F$3)</f>
        <v>0.01781949064424696</v>
      </c>
      <c r="J126" s="54">
        <f>J82*(J123-$F$3)</f>
        <v>-0.02859505072518924</v>
      </c>
      <c r="K126" s="54">
        <f>K82*(K123-$F$3)</f>
        <v>-0.1023269614462642</v>
      </c>
      <c r="L126" s="54">
        <f>L82*(L123-$F$3)</f>
        <v>-0.19312570406242016</v>
      </c>
      <c r="M126" s="54">
        <f>M82*(M123-$F$3)</f>
        <v>-0.27728824943165603</v>
      </c>
      <c r="N126" s="54">
        <f>N82*(N123-$F$3)</f>
        <v>-0.32157280808875083</v>
      </c>
      <c r="O126" s="54">
        <f>O82*(O123-$F$3)</f>
        <v>-0.2982011619114956</v>
      </c>
      <c r="P126" s="54">
        <f>P82*(P123-$F$3)</f>
        <v>-0.2022112978004895</v>
      </c>
      <c r="Q126" s="54">
        <f>Q82*(Q123-$F$3)</f>
        <v>-0.056111547683089374</v>
      </c>
      <c r="R126" s="54">
        <f>R82*(R123-$F$3)</f>
        <v>0.10093022115473313</v>
      </c>
      <c r="S126" s="54">
        <f>S82*(S123-$F$3)</f>
        <v>0.2290084906973693</v>
      </c>
      <c r="T126" s="54">
        <f>T82*(T123-$F$3)</f>
        <v>0.3000997805511644</v>
      </c>
      <c r="U126" s="54">
        <f>U82*(U123-$F$3)</f>
        <v>0.30533695617913104</v>
      </c>
      <c r="V126" s="54">
        <f>V82*(V123-$F$3)</f>
        <v>0.25573161568517766</v>
      </c>
      <c r="W126" s="54">
        <f>W82*(W123-$F$3)</f>
        <v>0.17543201253349966</v>
      </c>
      <c r="X126" s="54">
        <f>X82*(X123-$F$3)</f>
        <v>0.09083775767928216</v>
      </c>
      <c r="Y126" s="54">
        <f>Y82*(Y123-$F$3)</f>
        <v>0.02184119578963279</v>
      </c>
      <c r="Z126" s="54">
        <f>Z82*(Z123-$F$3)</f>
        <v>-0.021412945823914148</v>
      </c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  <c r="FR126" s="69"/>
      <c r="FS126" s="69"/>
      <c r="FT126" s="69"/>
      <c r="FU126" s="69"/>
      <c r="FV126" s="69"/>
      <c r="FW126" s="69"/>
      <c r="FX126" s="69"/>
      <c r="FY126" s="69"/>
      <c r="FZ126" s="69"/>
      <c r="GA126" s="69"/>
      <c r="GB126" s="69"/>
      <c r="GC126" s="69"/>
      <c r="GD126" s="69"/>
      <c r="GE126" s="69"/>
      <c r="GF126" s="69"/>
      <c r="GG126" s="69"/>
      <c r="GH126" s="69"/>
      <c r="GI126" s="69"/>
      <c r="GJ126" s="69"/>
      <c r="GK126" s="69"/>
      <c r="GL126" s="69"/>
      <c r="GM126" s="69"/>
      <c r="GN126" s="69"/>
      <c r="GO126" s="69"/>
      <c r="GP126" s="69"/>
      <c r="GQ126" s="69"/>
      <c r="GR126" s="69"/>
      <c r="GS126" s="69"/>
      <c r="GT126" s="69"/>
      <c r="GU126" s="69"/>
      <c r="GV126" s="69"/>
      <c r="GW126" s="69"/>
      <c r="GX126" s="69"/>
      <c r="GY126" s="69"/>
      <c r="GZ126" s="69"/>
      <c r="HA126" s="69"/>
      <c r="HB126" s="69"/>
      <c r="HC126" s="69"/>
      <c r="HD126" s="69"/>
      <c r="HE126" s="69"/>
      <c r="HF126" s="69"/>
      <c r="HG126" s="69"/>
      <c r="HH126" s="69"/>
      <c r="HI126" s="69"/>
      <c r="HJ126" s="69"/>
      <c r="HK126" s="69"/>
      <c r="HL126" s="69"/>
      <c r="HM126" s="69"/>
      <c r="HN126" s="69"/>
      <c r="HO126" s="69"/>
      <c r="HP126" s="69"/>
      <c r="HQ126" s="69"/>
      <c r="HR126" s="69"/>
      <c r="HS126" s="69"/>
      <c r="HT126" s="69"/>
      <c r="HU126" s="69"/>
      <c r="HV126" s="69"/>
      <c r="HW126" s="69"/>
      <c r="HX126" s="69"/>
      <c r="HY126" s="69"/>
      <c r="HZ126" s="69"/>
      <c r="IA126" s="69"/>
      <c r="IB126" s="69"/>
      <c r="IC126" s="69"/>
      <c r="ID126" s="69"/>
      <c r="IE126" s="69"/>
      <c r="IF126" s="69"/>
      <c r="IG126" s="69"/>
      <c r="IH126" s="69"/>
      <c r="II126" s="69"/>
      <c r="IJ126" s="69"/>
      <c r="IK126" s="69"/>
      <c r="IL126" s="69"/>
      <c r="IM126" s="69"/>
      <c r="IN126" s="69"/>
      <c r="IO126" s="69"/>
      <c r="IP126" s="69"/>
      <c r="IQ126" s="69"/>
      <c r="IR126" s="69"/>
      <c r="IS126" s="69"/>
      <c r="IT126" s="69"/>
      <c r="IU126" s="69"/>
      <c r="IV126" s="69"/>
    </row>
    <row r="127" spans="1:256" ht="12.75">
      <c r="A127" t="s">
        <v>113</v>
      </c>
      <c r="B127" s="54">
        <f>-B89*(B124-$F$4)-B82*(B126)</f>
        <v>-0.6144902718363536</v>
      </c>
      <c r="C127" s="54">
        <f>-C89*(C124-$F$4)-C82*(C126)</f>
        <v>-0.67973625999478</v>
      </c>
      <c r="D127" s="54">
        <f>-D89*(D124-$F$4)-D82*(D126)</f>
        <v>-0.7097721286903953</v>
      </c>
      <c r="E127" s="54">
        <f>-E89*(E124-$F$4)-E82*(E126)</f>
        <v>-0.716765043989843</v>
      </c>
      <c r="F127" s="54">
        <f>-F89*(F124-$F$4)-F82*(F126)</f>
        <v>-0.7097703251516175</v>
      </c>
      <c r="G127" s="54">
        <f>-G89*(G124-$F$4)-G82*(G126)</f>
        <v>-0.6933857272722316</v>
      </c>
      <c r="H127" s="54">
        <f>-H89*(H124-$F$4)-H82*(H126)</f>
        <v>-0.6655330498039507</v>
      </c>
      <c r="I127" s="54">
        <f>-I89*(I124-$F$4)-I82*(I126)</f>
        <v>-0.6147374640249889</v>
      </c>
      <c r="J127" s="54">
        <f>-J89*(J124-$F$4)-J82*(J126)</f>
        <v>-0.5185497296618559</v>
      </c>
      <c r="K127" s="54">
        <f>-K89*(K124-$F$4)-K82*(K126)</f>
        <v>-0.34768321985059963</v>
      </c>
      <c r="L127" s="54">
        <f>-L89*(L124-$F$4)-L82*(L126)</f>
        <v>-0.08266562494297514</v>
      </c>
      <c r="M127" s="54">
        <f>-M89*(M124-$F$4)-M82*(M126)</f>
        <v>0.2584946562223227</v>
      </c>
      <c r="N127" s="54">
        <f>-N89*(N124-$F$4)-N82*(N126)</f>
        <v>0.6073029793513208</v>
      </c>
      <c r="O127" s="54">
        <f>-O89*(O124-$F$4)-O82*(O126)</f>
        <v>0.878409463923631</v>
      </c>
      <c r="P127" s="54">
        <f>-P89*(P124-$F$4)-P82*(P126)</f>
        <v>1.0278113966821756</v>
      </c>
      <c r="Q127" s="54">
        <f>-Q89*(Q124-$F$4)-Q82*(Q126)</f>
        <v>1.0683939355179344</v>
      </c>
      <c r="R127" s="54">
        <f>-R89*(R124-$F$4)-R82*(R126)</f>
        <v>1.0311830469201602</v>
      </c>
      <c r="S127" s="54">
        <f>-S89*(S124-$F$4)-S82*(S126)</f>
        <v>0.9276740277968794</v>
      </c>
      <c r="T127" s="54">
        <f>-T89*(T124-$F$4)-T82*(T126)</f>
        <v>0.7505177717595828</v>
      </c>
      <c r="U127" s="54">
        <f>-U89*(U124-$F$4)-U82*(U126)</f>
        <v>0.5006389904721674</v>
      </c>
      <c r="V127" s="54">
        <f>-V89*(V124-$F$4)-V82*(V126)</f>
        <v>0.20712922504265086</v>
      </c>
      <c r="W127" s="54">
        <f>-W89*(W124-$F$4)-W82*(W126)</f>
        <v>-0.08141792896563861</v>
      </c>
      <c r="X127" s="54">
        <f>-X89*(X124-$F$4)-X82*(X126)</f>
        <v>-0.323162433270782</v>
      </c>
      <c r="Y127" s="54">
        <f>-Y89*(Y124-$F$4)-Y82*(Y126)</f>
        <v>-0.4998862862328054</v>
      </c>
      <c r="Z127" s="54">
        <f>-Z89*(Z124-$F$4)-Z82*(Z126)</f>
        <v>-0.6144902718363535</v>
      </c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  <c r="FC127" s="69"/>
      <c r="FD127" s="69"/>
      <c r="FE127" s="69"/>
      <c r="FF127" s="69"/>
      <c r="FG127" s="69"/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  <c r="FR127" s="69"/>
      <c r="FS127" s="69"/>
      <c r="FT127" s="69"/>
      <c r="FU127" s="69"/>
      <c r="FV127" s="69"/>
      <c r="FW127" s="69"/>
      <c r="FX127" s="69"/>
      <c r="FY127" s="69"/>
      <c r="FZ127" s="69"/>
      <c r="GA127" s="69"/>
      <c r="GB127" s="69"/>
      <c r="GC127" s="69"/>
      <c r="GD127" s="69"/>
      <c r="GE127" s="69"/>
      <c r="GF127" s="69"/>
      <c r="GG127" s="69"/>
      <c r="GH127" s="69"/>
      <c r="GI127" s="69"/>
      <c r="GJ127" s="69"/>
      <c r="GK127" s="69"/>
      <c r="GL127" s="69"/>
      <c r="GM127" s="69"/>
      <c r="GN127" s="69"/>
      <c r="GO127" s="69"/>
      <c r="GP127" s="69"/>
      <c r="GQ127" s="69"/>
      <c r="GR127" s="69"/>
      <c r="GS127" s="69"/>
      <c r="GT127" s="69"/>
      <c r="GU127" s="69"/>
      <c r="GV127" s="69"/>
      <c r="GW127" s="69"/>
      <c r="GX127" s="69"/>
      <c r="GY127" s="69"/>
      <c r="GZ127" s="69"/>
      <c r="HA127" s="69"/>
      <c r="HB127" s="69"/>
      <c r="HC127" s="69"/>
      <c r="HD127" s="69"/>
      <c r="HE127" s="69"/>
      <c r="HF127" s="69"/>
      <c r="HG127" s="69"/>
      <c r="HH127" s="69"/>
      <c r="HI127" s="69"/>
      <c r="HJ127" s="69"/>
      <c r="HK127" s="69"/>
      <c r="HL127" s="69"/>
      <c r="HM127" s="69"/>
      <c r="HN127" s="69"/>
      <c r="HO127" s="69"/>
      <c r="HP127" s="69"/>
      <c r="HQ127" s="69"/>
      <c r="HR127" s="69"/>
      <c r="HS127" s="69"/>
      <c r="HT127" s="69"/>
      <c r="HU127" s="69"/>
      <c r="HV127" s="69"/>
      <c r="HW127" s="69"/>
      <c r="HX127" s="69"/>
      <c r="HY127" s="69"/>
      <c r="HZ127" s="69"/>
      <c r="IA127" s="69"/>
      <c r="IB127" s="69"/>
      <c r="IC127" s="69"/>
      <c r="ID127" s="69"/>
      <c r="IE127" s="69"/>
      <c r="IF127" s="69"/>
      <c r="IG127" s="69"/>
      <c r="IH127" s="69"/>
      <c r="II127" s="69"/>
      <c r="IJ127" s="69"/>
      <c r="IK127" s="69"/>
      <c r="IL127" s="69"/>
      <c r="IM127" s="69"/>
      <c r="IN127" s="69"/>
      <c r="IO127" s="69"/>
      <c r="IP127" s="69"/>
      <c r="IQ127" s="69"/>
      <c r="IR127" s="69"/>
      <c r="IS127" s="69"/>
      <c r="IT127" s="69"/>
      <c r="IU127" s="69"/>
      <c r="IV127" s="69"/>
    </row>
    <row r="128" spans="1:256" ht="12.75">
      <c r="A128" t="s">
        <v>114</v>
      </c>
      <c r="B128" s="54">
        <f>B89*(B123-$F$3)+B82*(B125)</f>
        <v>-0.11193792081196716</v>
      </c>
      <c r="C128" s="54">
        <f>C89*(C123-$F$3)+C82*(C125)</f>
        <v>-0.014147353799536529</v>
      </c>
      <c r="D128" s="54">
        <f>D89*(D123-$F$3)+D82*(D125)</f>
        <v>0.05718970039321232</v>
      </c>
      <c r="E128" s="54">
        <f>E89*(E123-$F$3)+E82*(E125)</f>
        <v>0.09252290813611003</v>
      </c>
      <c r="F128" s="54">
        <f>F89*(F123-$F$3)+F82*(F125)</f>
        <v>0.08911955729980388</v>
      </c>
      <c r="G128" s="54">
        <f>G89*(G123-$F$3)+G82*(G125)</f>
        <v>0.04875671283292364</v>
      </c>
      <c r="H128" s="54">
        <f>H89*(H123-$F$3)+H82*(H125)</f>
        <v>-0.024175549036102882</v>
      </c>
      <c r="I128" s="54">
        <f>I89*(I123-$F$3)+I82*(I125)</f>
        <v>-0.12249197609076612</v>
      </c>
      <c r="J128" s="54">
        <f>J89*(J123-$F$3)+J82*(J125)</f>
        <v>-0.23218334549114691</v>
      </c>
      <c r="K128" s="54">
        <f>K89*(K123-$F$3)+K82*(K125)</f>
        <v>-0.32485529758567994</v>
      </c>
      <c r="L128" s="54">
        <f>L89*(L123-$F$3)+L82*(L125)</f>
        <v>-0.35351267751678517</v>
      </c>
      <c r="M128" s="54">
        <f>M89*(M123-$F$3)+M82*(M125)</f>
        <v>-0.26723661770886714</v>
      </c>
      <c r="N128" s="54">
        <f>N89*(N123-$F$3)+N82*(N125)</f>
        <v>-0.05210378910965574</v>
      </c>
      <c r="O128" s="54">
        <f>O89*(O123-$F$3)+O82*(O125)</f>
        <v>0.234129912326617</v>
      </c>
      <c r="P128" s="54">
        <f>P89*(P123-$F$3)+P82*(P125)</f>
        <v>0.4840318590981315</v>
      </c>
      <c r="Q128" s="54">
        <f>Q89*(Q123-$F$3)+Q82*(Q125)</f>
        <v>0.6060585126597176</v>
      </c>
      <c r="R128" s="54">
        <f>R89*(R123-$F$3)+R82*(R125)</f>
        <v>0.5674402252628411</v>
      </c>
      <c r="S128" s="54">
        <f>S89*(S123-$F$3)+S82*(S125)</f>
        <v>0.3926912699525676</v>
      </c>
      <c r="T128" s="54">
        <f>T89*(T123-$F$3)+T82*(T125)</f>
        <v>0.14469665615930108</v>
      </c>
      <c r="U128" s="54">
        <f>U89*(U123-$F$3)+U82*(U125)</f>
        <v>-0.09721555195421472</v>
      </c>
      <c r="V128" s="54">
        <f>V89*(V123-$F$3)+V82*(V125)</f>
        <v>-0.2656054429655595</v>
      </c>
      <c r="W128" s="54">
        <f>W89*(W123-$F$3)+W82*(W125)</f>
        <v>-0.3304408139948524</v>
      </c>
      <c r="X128" s="54">
        <f>X89*(X123-$F$3)+X82*(X125)</f>
        <v>-0.3029600701530068</v>
      </c>
      <c r="Y128" s="54">
        <f>Y89*(Y123-$F$3)+Y82*(Y125)</f>
        <v>-0.21777090790309195</v>
      </c>
      <c r="Z128" s="54">
        <f>Z89*(Z123-$F$3)+Z82*(Z125)</f>
        <v>-0.1119379208119671</v>
      </c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  <c r="FC128" s="69"/>
      <c r="FD128" s="69"/>
      <c r="FE128" s="69"/>
      <c r="FF128" s="69"/>
      <c r="FG128" s="69"/>
      <c r="FH128" s="69"/>
      <c r="FI128" s="69"/>
      <c r="FJ128" s="69"/>
      <c r="FK128" s="69"/>
      <c r="FL128" s="69"/>
      <c r="FM128" s="69"/>
      <c r="FN128" s="69"/>
      <c r="FO128" s="69"/>
      <c r="FP128" s="69"/>
      <c r="FQ128" s="69"/>
      <c r="FR128" s="69"/>
      <c r="FS128" s="69"/>
      <c r="FT128" s="69"/>
      <c r="FU128" s="69"/>
      <c r="FV128" s="69"/>
      <c r="FW128" s="69"/>
      <c r="FX128" s="69"/>
      <c r="FY128" s="69"/>
      <c r="FZ128" s="69"/>
      <c r="GA128" s="69"/>
      <c r="GB128" s="69"/>
      <c r="GC128" s="69"/>
      <c r="GD128" s="69"/>
      <c r="GE128" s="69"/>
      <c r="GF128" s="69"/>
      <c r="GG128" s="69"/>
      <c r="GH128" s="69"/>
      <c r="GI128" s="69"/>
      <c r="GJ128" s="69"/>
      <c r="GK128" s="69"/>
      <c r="GL128" s="69"/>
      <c r="GM128" s="69"/>
      <c r="GN128" s="69"/>
      <c r="GO128" s="69"/>
      <c r="GP128" s="69"/>
      <c r="GQ128" s="69"/>
      <c r="GR128" s="69"/>
      <c r="GS128" s="69"/>
      <c r="GT128" s="69"/>
      <c r="GU128" s="69"/>
      <c r="GV128" s="69"/>
      <c r="GW128" s="69"/>
      <c r="GX128" s="69"/>
      <c r="GY128" s="69"/>
      <c r="GZ128" s="69"/>
      <c r="HA128" s="69"/>
      <c r="HB128" s="69"/>
      <c r="HC128" s="69"/>
      <c r="HD128" s="69"/>
      <c r="HE128" s="69"/>
      <c r="HF128" s="69"/>
      <c r="HG128" s="69"/>
      <c r="HH128" s="69"/>
      <c r="HI128" s="69"/>
      <c r="HJ128" s="69"/>
      <c r="HK128" s="69"/>
      <c r="HL128" s="69"/>
      <c r="HM128" s="69"/>
      <c r="HN128" s="69"/>
      <c r="HO128" s="69"/>
      <c r="HP128" s="69"/>
      <c r="HQ128" s="69"/>
      <c r="HR128" s="69"/>
      <c r="HS128" s="69"/>
      <c r="HT128" s="69"/>
      <c r="HU128" s="69"/>
      <c r="HV128" s="69"/>
      <c r="HW128" s="69"/>
      <c r="HX128" s="69"/>
      <c r="HY128" s="69"/>
      <c r="HZ128" s="69"/>
      <c r="IA128" s="69"/>
      <c r="IB128" s="69"/>
      <c r="IC128" s="69"/>
      <c r="ID128" s="69"/>
      <c r="IE128" s="69"/>
      <c r="IF128" s="69"/>
      <c r="IG128" s="69"/>
      <c r="IH128" s="69"/>
      <c r="II128" s="69"/>
      <c r="IJ128" s="69"/>
      <c r="IK128" s="69"/>
      <c r="IL128" s="69"/>
      <c r="IM128" s="69"/>
      <c r="IN128" s="69"/>
      <c r="IO128" s="69"/>
      <c r="IP128" s="69"/>
      <c r="IQ128" s="69"/>
      <c r="IR128" s="69"/>
      <c r="IS128" s="69"/>
      <c r="IT128" s="69"/>
      <c r="IU128" s="69"/>
      <c r="IV128" s="69"/>
    </row>
    <row r="129" spans="1:256" ht="12.75">
      <c r="A129" s="16"/>
      <c r="B129" s="38"/>
      <c r="C129" s="38"/>
      <c r="D129" s="38"/>
      <c r="E129" s="38"/>
      <c r="F129" s="38"/>
      <c r="G129" s="38"/>
      <c r="H129" s="38" t="s">
        <v>121</v>
      </c>
      <c r="I129" s="38"/>
      <c r="J129" s="38"/>
      <c r="K129" s="38"/>
      <c r="L129" s="38"/>
      <c r="M129" s="38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</row>
    <row r="130" spans="1:256" ht="12.75">
      <c r="A130" t="s">
        <v>115</v>
      </c>
      <c r="B130" s="31">
        <f>B65+($I$7-$D$10)*COS(B77-$B$77)-($K$7-$D$11)*SIN(B77-$B$77)</f>
        <v>7</v>
      </c>
      <c r="C130" s="31">
        <f>C65+($I$7-$D$10)*COS(C77-$B$77)-($K$7-$D$11)*SIN(C77-$B$77)</f>
        <v>6.949635989974393</v>
      </c>
      <c r="D130" s="31">
        <f>D65+($I$7-$D$10)*COS(D77-$B$77)-($K$7-$D$11)*SIN(D77-$B$77)</f>
        <v>6.914181104964136</v>
      </c>
      <c r="E130" s="31">
        <f>E65+($I$7-$D$10)*COS(E77-$B$77)-($K$7-$D$11)*SIN(E77-$B$77)</f>
        <v>6.89662961235063</v>
      </c>
      <c r="F130" s="31">
        <f>F65+($I$7-$D$10)*COS(F77-$B$77)-($K$7-$D$11)*SIN(F77-$B$77)</f>
        <v>6.897904004012718</v>
      </c>
      <c r="G130" s="31">
        <f>G65+($I$7-$D$10)*COS(G77-$B$77)-($K$7-$D$11)*SIN(G77-$B$77)</f>
        <v>6.917788714173929</v>
      </c>
      <c r="H130" s="31">
        <f>H65+($I$7-$D$10)*COS(H77-$B$77)-($K$7-$D$11)*SIN(H77-$B$77)</f>
        <v>6.955009890968851</v>
      </c>
      <c r="I130" s="31">
        <f>I65+($I$7-$D$10)*COS(I77-$B$77)-($K$7-$D$11)*SIN(I77-$B$77)</f>
        <v>7.006436426840707</v>
      </c>
      <c r="J130" s="31">
        <f>J65+($I$7-$D$10)*COS(J77-$B$77)-($K$7-$D$11)*SIN(J77-$B$77)</f>
        <v>7.065934710493437</v>
      </c>
      <c r="K130" s="31">
        <f>K65+($I$7-$D$10)*COS(K77-$B$77)-($K$7-$D$11)*SIN(K77-$B$77)</f>
        <v>7.1238246254822535</v>
      </c>
      <c r="L130" s="31">
        <f>L65+($I$7-$D$10)*COS(L77-$B$77)-($K$7-$D$11)*SIN(L77-$B$77)</f>
        <v>7.168133371063366</v>
      </c>
      <c r="M130" s="31">
        <f>M65+($I$7-$D$10)*COS(M77-$B$77)-($K$7-$D$11)*SIN(M77-$B$77)</f>
        <v>7.188477295942715</v>
      </c>
      <c r="N130" s="2">
        <f>N65+($I$7-$D$10)*COS(N77-$B$77)-($K$7-$D$11)*SIN(N77-$B$77)</f>
        <v>7.181612381345077</v>
      </c>
      <c r="O130" s="2">
        <f>O65+($I$7-$D$10)*COS(O77-$B$77)-($K$7-$D$11)*SIN(O77-$B$77)</f>
        <v>7.15499137369594</v>
      </c>
      <c r="P130" s="2">
        <f>P65+($I$7-$D$10)*COS(P77-$B$77)-($K$7-$D$11)*SIN(P77-$B$77)</f>
        <v>7.124415470994571</v>
      </c>
      <c r="Q130" s="2">
        <f>Q65+($I$7-$D$10)*COS(Q77-$B$77)-($K$7-$D$11)*SIN(Q77-$B$77)</f>
        <v>7.106287008438431</v>
      </c>
      <c r="R130" s="2">
        <f>R65+($I$7-$D$10)*COS(R77-$B$77)-($K$7-$D$11)*SIN(R77-$B$77)</f>
        <v>7.10958828768086</v>
      </c>
      <c r="S130" s="2">
        <f>S65+($I$7-$D$10)*COS(S77-$B$77)-($K$7-$D$11)*SIN(S77-$B$77)</f>
        <v>7.132200344885904</v>
      </c>
      <c r="T130" s="2">
        <f>T65+($I$7-$D$10)*COS(T77-$B$77)-($K$7-$D$11)*SIN(T77-$B$77)</f>
        <v>7.162547988050163</v>
      </c>
      <c r="U130" s="2">
        <f>U65+($I$7-$D$10)*COS(U77-$B$77)-($K$7-$D$11)*SIN(U77-$B$77)</f>
        <v>7.18507068523362</v>
      </c>
      <c r="V130" s="2">
        <f>V65+($I$7-$D$10)*COS(V77-$B$77)-($K$7-$D$11)*SIN(V77-$B$77)</f>
        <v>7.186961199983415</v>
      </c>
      <c r="W130" s="2">
        <f>W65+($I$7-$D$10)*COS(W77-$B$77)-($K$7-$D$11)*SIN(W77-$B$77)</f>
        <v>7.163137372036723</v>
      </c>
      <c r="X130" s="2">
        <f>X65+($I$7-$D$10)*COS(X77-$B$77)-($K$7-$D$11)*SIN(X77-$B$77)</f>
        <v>7.117275121518081</v>
      </c>
      <c r="Y130" s="2">
        <f>Y65+($I$7-$D$10)*COS(Y77-$B$77)-($K$7-$D$11)*SIN(Y77-$B$77)</f>
        <v>7.059084063123671</v>
      </c>
      <c r="Z130" s="2">
        <f>Z65+($I$7-$D$10)*COS(Z77-$B$77)-($K$7-$D$11)*SIN(Z77-$B$77)</f>
        <v>7</v>
      </c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</row>
    <row r="131" spans="1:256" ht="12.75">
      <c r="A131" t="s">
        <v>174</v>
      </c>
      <c r="B131" s="31">
        <f>B130-1</f>
        <v>6</v>
      </c>
      <c r="C131" s="31">
        <f>C130-1</f>
        <v>5.949635989974393</v>
      </c>
      <c r="D131" s="31">
        <f>D130-1</f>
        <v>5.914181104964136</v>
      </c>
      <c r="E131" s="31">
        <f>E130-1</f>
        <v>5.89662961235063</v>
      </c>
      <c r="F131" s="31">
        <f>F130-1</f>
        <v>5.897904004012718</v>
      </c>
      <c r="G131" s="31">
        <f>G130-1</f>
        <v>5.917788714173929</v>
      </c>
      <c r="H131" s="31">
        <f>H130-1</f>
        <v>5.955009890968851</v>
      </c>
      <c r="I131" s="31">
        <f>I130-1</f>
        <v>6.006436426840707</v>
      </c>
      <c r="J131" s="31">
        <f>J130-1</f>
        <v>6.065934710493437</v>
      </c>
      <c r="K131" s="31">
        <f>K130-1</f>
        <v>6.1238246254822535</v>
      </c>
      <c r="L131" s="31">
        <f>L130-1</f>
        <v>6.168133371063366</v>
      </c>
      <c r="M131" s="31">
        <f>M130-1</f>
        <v>6.188477295942715</v>
      </c>
      <c r="N131" s="2">
        <f>N130-1</f>
        <v>6.181612381345077</v>
      </c>
      <c r="O131" s="2">
        <f>O130-1</f>
        <v>6.15499137369594</v>
      </c>
      <c r="P131" s="2">
        <f>P130-1</f>
        <v>6.124415470994571</v>
      </c>
      <c r="Q131" s="2">
        <f>Q130-1</f>
        <v>6.106287008438431</v>
      </c>
      <c r="R131" s="2">
        <f>R130-1</f>
        <v>6.10958828768086</v>
      </c>
      <c r="S131" s="2">
        <f>S130-1</f>
        <v>6.132200344885904</v>
      </c>
      <c r="T131" s="2">
        <f>T130-1</f>
        <v>6.162547988050163</v>
      </c>
      <c r="U131" s="2">
        <f>U130-1</f>
        <v>6.18507068523362</v>
      </c>
      <c r="V131" s="2">
        <f>V130-1</f>
        <v>6.186961199983415</v>
      </c>
      <c r="W131" s="2">
        <f>W130-1</f>
        <v>6.163137372036723</v>
      </c>
      <c r="X131" s="2">
        <f>X130-1</f>
        <v>6.117275121518081</v>
      </c>
      <c r="Y131" s="2">
        <f>Y130-1</f>
        <v>6.059084063123671</v>
      </c>
      <c r="Z131" s="2">
        <f>Z130-1</f>
        <v>6</v>
      </c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</row>
    <row r="132" spans="1:256" ht="12.75">
      <c r="A132" t="s">
        <v>116</v>
      </c>
      <c r="B132" s="31">
        <f>B67+($I$7-$D$10)*SIN(B77-$B$77)+($K$7-$D$11)*COS(B77-$B$77)</f>
        <v>1</v>
      </c>
      <c r="C132" s="31">
        <f>C67+($I$7-$D$10)*SIN(C77-$B$77)+($K$7-$D$11)*COS(C77-$B$77)</f>
        <v>1.0081514936494975</v>
      </c>
      <c r="D132" s="31">
        <f>D67+($I$7-$D$10)*SIN(D77-$B$77)+($K$7-$D$11)*COS(D77-$B$77)</f>
        <v>1.0232288341807538</v>
      </c>
      <c r="E132" s="31">
        <f>E67+($I$7-$D$10)*SIN(E77-$B$77)+($K$7-$D$11)*COS(E77-$B$77)</f>
        <v>1.033500829035349</v>
      </c>
      <c r="F132" s="31">
        <f>F67+($I$7-$D$10)*SIN(F77-$B$77)+($K$7-$D$11)*COS(F77-$B$77)</f>
        <v>1.0326917717860125</v>
      </c>
      <c r="G132" s="31">
        <f>G67+($I$7-$D$10)*SIN(G77-$B$77)+($K$7-$D$11)*COS(G77-$B$77)</f>
        <v>1.0213487874360645</v>
      </c>
      <c r="H132" s="31">
        <f>H67+($I$7-$D$10)*SIN(H77-$B$77)+($K$7-$D$11)*COS(H77-$B$77)</f>
        <v>1.0065285658823302</v>
      </c>
      <c r="I132" s="31">
        <f>I67+($I$7-$D$10)*SIN(I77-$B$77)+($K$7-$D$11)*COS(I77-$B$77)</f>
        <v>1.0001400904940707</v>
      </c>
      <c r="J132" s="31">
        <f>J67+($I$7-$D$10)*SIN(J77-$B$77)+($K$7-$D$11)*COS(J77-$B$77)</f>
        <v>1.0160967544708606</v>
      </c>
      <c r="K132" s="31">
        <f>K67+($I$7-$D$10)*SIN(K77-$B$77)+($K$7-$D$11)*COS(K77-$B$77)</f>
        <v>1.0662662232328097</v>
      </c>
      <c r="L132" s="31">
        <f>L67+($I$7-$D$10)*SIN(L77-$B$77)+($K$7-$D$11)*COS(L77-$B$77)</f>
        <v>1.1555708800491329</v>
      </c>
      <c r="M132" s="31">
        <f>M67+($I$7-$D$10)*SIN(M77-$B$77)+($K$7-$D$11)*COS(M77-$B$77)</f>
        <v>1.2778024291379126</v>
      </c>
      <c r="N132" s="2">
        <f>N67+($I$7-$D$10)*SIN(N77-$B$77)+($K$7-$D$11)*COS(N77-$B$77)</f>
        <v>1.4150215405302846</v>
      </c>
      <c r="O132" s="2">
        <f>O67+($I$7-$D$10)*SIN(O77-$B$77)+($K$7-$D$11)*COS(O77-$B$77)</f>
        <v>1.5425005991298193</v>
      </c>
      <c r="P132" s="2">
        <f>P67+($I$7-$D$10)*SIN(P77-$B$77)+($K$7-$D$11)*COS(P77-$B$77)</f>
        <v>1.6370210460860837</v>
      </c>
      <c r="Q132" s="2">
        <f>Q67+($I$7-$D$10)*SIN(Q77-$B$77)+($K$7-$D$11)*COS(Q77-$B$77)</f>
        <v>1.6832159076406366</v>
      </c>
      <c r="R132" s="2">
        <f>R67+($I$7-$D$10)*SIN(R77-$B$77)+($K$7-$D$11)*COS(R77-$B$77)</f>
        <v>1.6751818597059436</v>
      </c>
      <c r="S132" s="2">
        <f>S67+($I$7-$D$10)*SIN(S77-$B$77)+($K$7-$D$11)*COS(S77-$B$77)</f>
        <v>1.615363734837134</v>
      </c>
      <c r="T132" s="2">
        <f>T67+($I$7-$D$10)*SIN(T77-$B$77)+($K$7-$D$11)*COS(T77-$B$77)</f>
        <v>1.513596503540413</v>
      </c>
      <c r="U132" s="2">
        <f>U67+($I$7-$D$10)*SIN(U77-$B$77)+($K$7-$D$11)*COS(U77-$B$77)</f>
        <v>1.3864754506218802</v>
      </c>
      <c r="V132" s="2">
        <f>V67+($I$7-$D$10)*SIN(V77-$B$77)+($K$7-$D$11)*COS(V77-$B$77)</f>
        <v>1.2551691570943684</v>
      </c>
      <c r="W132" s="2">
        <f>W67+($I$7-$D$10)*SIN(W77-$B$77)+($K$7-$D$11)*COS(W77-$B$77)</f>
        <v>1.140676322707281</v>
      </c>
      <c r="X132" s="2">
        <f>X67+($I$7-$D$10)*SIN(X77-$B$77)+($K$7-$D$11)*COS(X77-$B$77)</f>
        <v>1.05809306974191</v>
      </c>
      <c r="Y132" s="2">
        <f>Y67+($I$7-$D$10)*SIN(Y77-$B$77)+($K$7-$D$11)*COS(Y77-$B$77)</f>
        <v>1.0127581019236593</v>
      </c>
      <c r="Z132" s="2">
        <f>Z67+($I$7-$D$10)*SIN(Z77-$B$77)+($K$7-$D$11)*COS(Z77-$B$77)</f>
        <v>1</v>
      </c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</row>
    <row r="133" spans="1:256" ht="12.75">
      <c r="A133" t="s">
        <v>117</v>
      </c>
      <c r="B133" s="31">
        <f>B68-B82*(B132-B67)</f>
        <v>-0.21412945823914228</v>
      </c>
      <c r="C133" s="31">
        <f>C68-C82*(C132-C67)</f>
        <v>-0.16670734991261524</v>
      </c>
      <c r="D133" s="31">
        <f>D68-D82*(D132-D67)</f>
        <v>-0.10232410177301923</v>
      </c>
      <c r="E133" s="31">
        <f>E68-E82*(E132-E67)</f>
        <v>-0.031237954547691377</v>
      </c>
      <c r="F133" s="31">
        <f>F68-F82*(F132-F67)</f>
        <v>0.0408312736082698</v>
      </c>
      <c r="G133" s="31">
        <f>G68-G82*(G132-G67)</f>
        <v>0.11032171308847114</v>
      </c>
      <c r="H133" s="31">
        <f>H68-H82*(H132-H67)</f>
        <v>0.17211545055103655</v>
      </c>
      <c r="I133" s="31">
        <f>I68-I82*(I132-I67)</f>
        <v>0.2168958081308819</v>
      </c>
      <c r="J133" s="31">
        <f>J68-J82*(J132-J67)</f>
        <v>0.23140520752307261</v>
      </c>
      <c r="K133" s="31">
        <f>K68-K82*(K132-K67)</f>
        <v>0.20296575857281193</v>
      </c>
      <c r="L133" s="31">
        <f>L68-L82*(L132-L67)</f>
        <v>0.12852735659185846</v>
      </c>
      <c r="M133" s="31">
        <f>M68-M82*(M132-M67)</f>
        <v>0.024551597498315245</v>
      </c>
      <c r="N133" s="2">
        <f>N68-N82*(N132-N67)</f>
        <v>-0.07209788991368846</v>
      </c>
      <c r="O133" s="2">
        <f>O68-O82*(O132-O67)</f>
        <v>-0.12066129702938601</v>
      </c>
      <c r="P133" s="2">
        <f>P68-P82*(P132-P67)</f>
        <v>-0.1019214949709823</v>
      </c>
      <c r="Q133" s="2">
        <f>Q68-Q82*(Q132-Q67)</f>
        <v>-0.03061176720932808</v>
      </c>
      <c r="R133" s="2">
        <f>R68-R82*(R132-R67)</f>
        <v>0.05436200676528571</v>
      </c>
      <c r="S133" s="2">
        <f>S68-S82*(S132-S67)</f>
        <v>0.11064082135784448</v>
      </c>
      <c r="T133" s="2">
        <f>T68-T82*(T132-T67)</f>
        <v>0.11083306260565297</v>
      </c>
      <c r="U133" s="2">
        <f>U68-U82*(U132-U67)</f>
        <v>0.05273491013962625</v>
      </c>
      <c r="V133" s="2">
        <f>V68-V82*(V132-V67)</f>
        <v>-0.04159119817305344</v>
      </c>
      <c r="W133" s="2">
        <f>W68-W82*(W132-W67)</f>
        <v>-0.1378725105578649</v>
      </c>
      <c r="X133" s="2">
        <f>X68-X82*(X132-X67)</f>
        <v>-0.20601030134503007</v>
      </c>
      <c r="Y133" s="2">
        <f>Y68-Y82*(Y132-Y67)</f>
        <v>-0.231019642761329</v>
      </c>
      <c r="Z133" s="2">
        <f>Z68-Z82*(Z132-Z67)</f>
        <v>-0.21412945823914226</v>
      </c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</row>
    <row r="134" spans="1:256" ht="12.75">
      <c r="A134" t="s">
        <v>118</v>
      </c>
      <c r="B134" s="31">
        <f>B69+B82*(B130-B65)</f>
        <v>0</v>
      </c>
      <c r="C134" s="31">
        <f>C69+C82*(C130-C65)</f>
        <v>0.053067767334622706</v>
      </c>
      <c r="D134" s="31">
        <f>D69+D82*(D130-D65)</f>
        <v>0.05443842780687802</v>
      </c>
      <c r="E134" s="31">
        <f>E69+E82*(E130-E65)</f>
        <v>0.019953749465815254</v>
      </c>
      <c r="F134" s="31">
        <f>F69+F82*(F130-F65)</f>
        <v>-0.025762536216187903</v>
      </c>
      <c r="G134" s="31">
        <f>G69+G82*(G130-G65)</f>
        <v>-0.05629214640175306</v>
      </c>
      <c r="H134" s="31">
        <f>H69+H82*(H130-H65)</f>
        <v>-0.04916413284208154</v>
      </c>
      <c r="I134" s="31">
        <f>I69+I82*(I130-I65)</f>
        <v>0.009476816253993658</v>
      </c>
      <c r="J134" s="31">
        <f>J69+J82*(J130-J65)</f>
        <v>0.12030364847837693</v>
      </c>
      <c r="K134" s="31">
        <f>K69+K82*(K130-K65)</f>
        <v>0.2663925698895353</v>
      </c>
      <c r="L134" s="31">
        <f>L69+L82*(L130-L65)</f>
        <v>0.4119554969973074</v>
      </c>
      <c r="M134" s="31">
        <f>M69+M82*(M130-M65)</f>
        <v>0.5100687542368951</v>
      </c>
      <c r="N134" s="31">
        <f>N69+N82*(N130-N65)</f>
        <v>0.5218773155612167</v>
      </c>
      <c r="O134" s="31">
        <f>O69+O82*(O130-O65)</f>
        <v>0.43677611322600585</v>
      </c>
      <c r="P134" s="31">
        <f>P69+P82*(P130-P65)</f>
        <v>0.2754483976105543</v>
      </c>
      <c r="Q134" s="31">
        <f>Q69+Q82*(Q130-Q65)</f>
        <v>0.07379999375468996</v>
      </c>
      <c r="R134" s="31">
        <f>R69+R82*(R130-R65)</f>
        <v>-0.13355851588921816</v>
      </c>
      <c r="S134" s="31">
        <f>S69+S82*(S130-S65)</f>
        <v>-0.31713977823025363</v>
      </c>
      <c r="T134" s="31">
        <f>T69+T82*(T130-T65)</f>
        <v>-0.449612739829768</v>
      </c>
      <c r="U134" s="31">
        <f>U69+U82*(U130-U65)</f>
        <v>-0.5077254419743656</v>
      </c>
      <c r="V134" s="31">
        <f>V69+V82*(V130-V65)</f>
        <v>-0.48161678765010074</v>
      </c>
      <c r="W134" s="31">
        <f>W69+W82*(W130-W65)</f>
        <v>-0.3831711459994084</v>
      </c>
      <c r="X134" s="31">
        <f>X69+X82*(X130-X65)</f>
        <v>-0.24430843830053361</v>
      </c>
      <c r="Y134" s="31">
        <f>Y69+Y82*(Y130-Y65)</f>
        <v>-0.10520738728221635</v>
      </c>
      <c r="Z134" s="31">
        <f>Z69+Z82*(Z130-Z65)</f>
        <v>0</v>
      </c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ht="12.75">
      <c r="A135" t="s">
        <v>119</v>
      </c>
      <c r="B135" s="31">
        <f>B70-B89*(B132-B67)-B82*(B134-B69)</f>
        <v>0.13170967090684635</v>
      </c>
      <c r="C135" s="31">
        <f>C70-C89*(C132-C67)-C82*(C134-C69)</f>
        <v>0.22156057509322596</v>
      </c>
      <c r="D135" s="31">
        <f>D70-D89*(D132-D67)-D82*(D134-D69)</f>
        <v>0.26369042671308446</v>
      </c>
      <c r="E135" s="31">
        <f>E70-E89*(E132-E67)-E82*(E134-E69)</f>
        <v>0.27590130759932247</v>
      </c>
      <c r="F135" s="31">
        <f>F70-F89*(F132-F67)-F82*(F134-F69)</f>
        <v>0.27265889622763767</v>
      </c>
      <c r="G135" s="31">
        <f>G70-G89*(G132-G67)-G82*(G134-G69)</f>
        <v>0.2551350002364625</v>
      </c>
      <c r="H135" s="31">
        <f>H70-H89*(H132-H67)-H82*(H134-H69)</f>
        <v>0.21099948837779486</v>
      </c>
      <c r="I135" s="31">
        <f>I70-I89*(I132-I67)-I82*(I134-I69)</f>
        <v>0.12237658431403395</v>
      </c>
      <c r="J135" s="31">
        <f>J70-J89*(J132-J67)-J82*(J134-J69)</f>
        <v>-0.02020683574056903</v>
      </c>
      <c r="K135" s="31">
        <f>K70-K89*(K132-K67)-K82*(K134-K69)</f>
        <v>-0.1997247522068663</v>
      </c>
      <c r="L135" s="31">
        <f>L70-L89*(L132-L67)-L82*(L134-L69)</f>
        <v>-0.3586303682853693</v>
      </c>
      <c r="M135" s="31">
        <f>M70-M89*(M132-M67)-M82*(M134-M69)</f>
        <v>-0.41109003381416614</v>
      </c>
      <c r="N135" s="2">
        <f>N70-N89*(N132-N67)-N82*(N134-N69)</f>
        <v>-0.299429984831398</v>
      </c>
      <c r="O135" s="2">
        <f>O70-O89*(O132-O67)-O82*(O134-O69)</f>
        <v>-0.058446195867647155</v>
      </c>
      <c r="P135" s="2">
        <f>P70-P89*(P132-P67)-P82*(P134-P69)</f>
        <v>0.1914585582372919</v>
      </c>
      <c r="Q135" s="2">
        <f>Q70-Q89*(Q132-Q67)-Q82*(Q134-Q69)</f>
        <v>0.32708669183094335</v>
      </c>
      <c r="R135" s="2">
        <f>R70-R89*(R132-R67)-R82*(R134-R69)</f>
        <v>0.29388704199088006</v>
      </c>
      <c r="S135" s="2">
        <f>S70-S89*(S132-S67)-S82*(S134-S69)</f>
        <v>0.11793484093573842</v>
      </c>
      <c r="T135" s="2">
        <f>T70-T89*(T132-T67)-T82*(T134-T69)</f>
        <v>-0.1178217040698292</v>
      </c>
      <c r="U135" s="2">
        <f>U70-U89*(U132-U67)-U82*(U134-U69)</f>
        <v>-0.31113328486974634</v>
      </c>
      <c r="V135" s="2">
        <f>V70-V89*(V132-V67)-V82*(V134-V69)</f>
        <v>-0.38649691605522685</v>
      </c>
      <c r="W135" s="2">
        <f>W70-W89*(W132-W67)-W82*(W134-W69)</f>
        <v>-0.3291386977222274</v>
      </c>
      <c r="X135" s="2">
        <f>X70-X89*(X132-X67)-X82*(X134-X69)</f>
        <v>-0.1818196339652642</v>
      </c>
      <c r="Y135" s="2">
        <f>Y70-Y89*(Y132-Y67)-Y82*(Y134-Y69)</f>
        <v>-0.010460675034964118</v>
      </c>
      <c r="Z135" s="2">
        <f>Z70-Z89*(Z132-Z67)-Z82*(Z134-Z69)</f>
        <v>0.13170967090684632</v>
      </c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</row>
    <row r="136" spans="1:256" ht="12.75">
      <c r="A136" t="s">
        <v>120</v>
      </c>
      <c r="B136" s="31">
        <f>B71+B89*(B130-B65)+B82*(B133-B68)</f>
        <v>0.3078595670902948</v>
      </c>
      <c r="C136" s="31">
        <f>C71+C89*(C130-C65)+C82*(C133-C68)</f>
        <v>0.09806691747685271</v>
      </c>
      <c r="D136" s="31">
        <f>D71+D89*(D130-D65)+D82*(D133-D68)</f>
        <v>-0.07705969662731063</v>
      </c>
      <c r="E136" s="31">
        <f>E71+E89*(E130-E65)+E82*(E133-E68)</f>
        <v>-0.17024759813613077</v>
      </c>
      <c r="F136" s="31">
        <f>F71+F89*(F130-F65)+F82*(F133-F68)</f>
        <v>-0.161818479489247</v>
      </c>
      <c r="G136" s="31">
        <f>G71+G89*(G130-G65)+G82*(G133-G68)</f>
        <v>-0.05681964216760491</v>
      </c>
      <c r="H136" s="31">
        <f>H71+H89*(H130-H65)+H82*(H133-H68)</f>
        <v>0.1203820885092371</v>
      </c>
      <c r="I136" s="31">
        <f>I71+I89*(I130-I65)+I82*(I133-I68)</f>
        <v>0.32833700621579387</v>
      </c>
      <c r="J136" s="31">
        <f>J71+J89*(J130-J65)+J82*(J133-J68)</f>
        <v>0.5076864807268445</v>
      </c>
      <c r="K136" s="31">
        <f>K71+K89*(K130-K65)+K82*(K133-K68)</f>
        <v>0.5851191330231913</v>
      </c>
      <c r="L136" s="31">
        <f>L71+L89*(L130-L65)+L82*(L133-L68)</f>
        <v>0.49570589577888746</v>
      </c>
      <c r="M136" s="31">
        <f>M71+M89*(M130-M65)+M82*(M133-M68)</f>
        <v>0.22758613168705086</v>
      </c>
      <c r="N136" s="2">
        <f>N71+N89*(N130-N65)+N82*(N133-N68)</f>
        <v>-0.14435153102355502</v>
      </c>
      <c r="O136" s="2">
        <f>O71+O89*(O130-O65)+O82*(O133-O68)</f>
        <v>-0.4913533190031513</v>
      </c>
      <c r="P136" s="2">
        <f>P71+P89*(P130-P65)+P82*(P133-P68)</f>
        <v>-0.7170466647454259</v>
      </c>
      <c r="Q136" s="2">
        <f>Q71+Q89*(Q130-Q65)+Q82*(Q133-Q68)</f>
        <v>-0.8012411737740952</v>
      </c>
      <c r="R136" s="2">
        <f>R71+R89*(R130-R65)+R82*(R133-R68)</f>
        <v>-0.7644099699250015</v>
      </c>
      <c r="S136" s="2">
        <f>S71+S89*(S130-S65)+S82*(S133-S68)</f>
        <v>-0.6205504265860972</v>
      </c>
      <c r="T136" s="2">
        <f>T71+T89*(T130-T65)+T82*(T133-T68)</f>
        <v>-0.37597809020704276</v>
      </c>
      <c r="U136" s="2">
        <f>U71+U89*(U130-U65)+U82*(U133-U68)</f>
        <v>-0.061058130728236085</v>
      </c>
      <c r="V136" s="2">
        <f>V71+V89*(V130-V65)+V82*(V133-V68)</f>
        <v>0.2528341426757166</v>
      </c>
      <c r="W136" s="2">
        <f>W71+W89*(W130-W65)+W82*(W133-W68)</f>
        <v>0.47807947478692986</v>
      </c>
      <c r="X136" s="2">
        <f>X71+X89*(X130-X65)+X82*(X133-X68)</f>
        <v>0.5561953052536417</v>
      </c>
      <c r="Y136" s="2">
        <f>Y71+Y89*(Y130-Y65)+Y82*(Y133-Y68)</f>
        <v>0.4840825791884511</v>
      </c>
      <c r="Z136" s="2">
        <f>Z71+Z89*(Z130-Z65)+Z82*(Z133-Z68)</f>
        <v>0.30785956709029466</v>
      </c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</row>
    <row r="137" spans="2:256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</row>
    <row r="138" spans="1:26" s="74" customFormat="1" ht="12.75">
      <c r="A138" s="20"/>
      <c r="B138" s="56" t="s">
        <v>131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46"/>
      <c r="M138" s="46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>
      <c r="A139" s="19"/>
      <c r="B139" s="19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2:13" ht="12.7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1:256" s="24" customFormat="1" ht="12.75">
      <c r="A141" t="s">
        <v>132</v>
      </c>
      <c r="B141" s="31">
        <f>0.5*$M$3*(B104^2+B105^2)+0.5*$B$5^2*$O$3</f>
        <v>1.0013695261579316</v>
      </c>
      <c r="C141" s="31">
        <f>0.5*$M$3*(C104^2+C105^2)+0.5*$B$5^2*$O$3</f>
        <v>1.0013695261579318</v>
      </c>
      <c r="D141" s="31">
        <f>0.5*$M$3*(D104^2+D105^2)+0.5*$B$5^2*$O$3</f>
        <v>1.0013695261579318</v>
      </c>
      <c r="E141" s="31">
        <f>0.5*$M$3*(E104^2+E105^2)+0.5*$B$5^2*$O$3</f>
        <v>1.0013695261579316</v>
      </c>
      <c r="F141" s="31">
        <f>0.5*$M$3*(F104^2+F105^2)+0.5*$B$5^2*$O$3</f>
        <v>1.0013695261579316</v>
      </c>
      <c r="G141" s="31">
        <f>0.5*$M$3*(G104^2+G105^2)+0.5*$B$5^2*$O$3</f>
        <v>1.0013695261579316</v>
      </c>
      <c r="H141" s="31">
        <f>0.5*$M$3*(H104^2+H105^2)+0.5*$B$5^2*$O$3</f>
        <v>1.0013695261579316</v>
      </c>
      <c r="I141" s="31">
        <f>0.5*$M$3*(I104^2+I105^2)+0.5*$B$5^2*$O$3</f>
        <v>1.0013695261579318</v>
      </c>
      <c r="J141" s="31">
        <f>0.5*$M$3*(J104^2+J105^2)+0.5*$B$5^2*$O$3</f>
        <v>1.0013695261579316</v>
      </c>
      <c r="K141" s="31">
        <f>0.5*$M$3*(K104^2+K105^2)+0.5*$B$5^2*$O$3</f>
        <v>1.0013695261579316</v>
      </c>
      <c r="L141" s="31">
        <f>0.5*$M$3*(L104^2+L105^2)+0.5*$B$5^2*$O$3</f>
        <v>1.0013695261579316</v>
      </c>
      <c r="M141" s="31">
        <f>0.5*$M$3*(M104^2+M105^2)+0.5*$B$5^2*$O$3</f>
        <v>1.0013695261579316</v>
      </c>
      <c r="N141" s="31">
        <f>0.5*$M$3*(N104^2+N105^2)+0.5*$B$5^2*$O$3</f>
        <v>1.0013695261579316</v>
      </c>
      <c r="O141" s="31">
        <f>0.5*$M$3*(O104^2+O105^2)+0.5*$B$5^2*$O$3</f>
        <v>1.0013695261579318</v>
      </c>
      <c r="P141" s="31">
        <f>0.5*$M$3*(P104^2+P105^2)+0.5*$B$5^2*$O$3</f>
        <v>1.0013695261579318</v>
      </c>
      <c r="Q141" s="31">
        <f>0.5*$M$3*(Q104^2+Q105^2)+0.5*$B$5^2*$O$3</f>
        <v>1.0013695261579318</v>
      </c>
      <c r="R141" s="31">
        <f>0.5*$M$3*(R104^2+R105^2)+0.5*$B$5^2*$O$3</f>
        <v>1.0013695261579318</v>
      </c>
      <c r="S141" s="31">
        <f>0.5*$M$3*(S104^2+S105^2)+0.5*$B$5^2*$O$3</f>
        <v>1.0013695261579316</v>
      </c>
      <c r="T141" s="31">
        <f>0.5*$M$3*(T104^2+T105^2)+0.5*$B$5^2*$O$3</f>
        <v>1.0013695261579316</v>
      </c>
      <c r="U141" s="31">
        <f>0.5*$M$3*(U104^2+U105^2)+0.5*$B$5^2*$O$3</f>
        <v>1.0013695261579316</v>
      </c>
      <c r="V141" s="31">
        <f>0.5*$M$3*(V104^2+V105^2)+0.5*$B$5^2*$O$3</f>
        <v>1.0013695261579318</v>
      </c>
      <c r="W141" s="31">
        <f>0.5*$M$3*(W104^2+W105^2)+0.5*$B$5^2*$O$3</f>
        <v>1.0013695261579316</v>
      </c>
      <c r="X141" s="31">
        <f>0.5*$M$3*(X104^2+X105^2)+0.5*$B$5^2*$O$3</f>
        <v>1.0013695261579318</v>
      </c>
      <c r="Y141" s="31">
        <f>0.5*$M$3*(Y104^2+Y105^2)+0.5*$B$5^2*$O$3</f>
        <v>1.0013695261579316</v>
      </c>
      <c r="Z141" s="31">
        <f>0.5*$M$3*(Z104^2+Z105^2)+0.5*$B$5^2*$O$3</f>
        <v>1.0013695261579316</v>
      </c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  <c r="IU141" s="28"/>
      <c r="IV141" s="28"/>
    </row>
    <row r="142" spans="1:26" s="24" customFormat="1" ht="12.75">
      <c r="A142" t="s">
        <v>133</v>
      </c>
      <c r="B142" s="31">
        <f>$M$3*B106</f>
        <v>-1</v>
      </c>
      <c r="C142" s="31">
        <f>$M$3*C106</f>
        <v>-0.9523802840697423</v>
      </c>
      <c r="D142" s="31">
        <f>$M$3*D106</f>
        <v>-0.8398574256629668</v>
      </c>
      <c r="E142" s="31">
        <f>$M$3*E106</f>
        <v>-0.6700996716272796</v>
      </c>
      <c r="F142" s="31">
        <f>$M$3*F106</f>
        <v>-0.45467573236225994</v>
      </c>
      <c r="G142" s="31">
        <f>$M$3*G106</f>
        <v>-0.20826639332392669</v>
      </c>
      <c r="H142" s="31">
        <f>$M$3*H106</f>
        <v>0.05233595624294377</v>
      </c>
      <c r="I142" s="31">
        <f>$M$3*I106</f>
        <v>0.3093716968811149</v>
      </c>
      <c r="J142" s="31">
        <f>$M$3*J106</f>
        <v>0.5453242676377399</v>
      </c>
      <c r="K142" s="31">
        <f>$M$3*K106</f>
        <v>0.7441138907458155</v>
      </c>
      <c r="L142" s="31">
        <f>$M$3*L106</f>
        <v>0.8921933819059106</v>
      </c>
      <c r="M142" s="31">
        <f>$M$3*M106</f>
        <v>0.9794713685083942</v>
      </c>
      <c r="N142" s="2">
        <f>$M$3*N106</f>
        <v>1</v>
      </c>
      <c r="O142" s="2">
        <f>$M$3*O106</f>
        <v>0.9523802840697423</v>
      </c>
      <c r="P142" s="2">
        <f>$M$3*P106</f>
        <v>0.8398574256629667</v>
      </c>
      <c r="Q142" s="2">
        <f>$M$3*Q106</f>
        <v>0.6700996716272797</v>
      </c>
      <c r="R142" s="2">
        <f>$M$3*R106</f>
        <v>0.45467573236226033</v>
      </c>
      <c r="S142" s="2">
        <f>$M$3*S106</f>
        <v>0.20826639332392657</v>
      </c>
      <c r="T142" s="2">
        <f>$M$3*T106</f>
        <v>-0.052335956242943654</v>
      </c>
      <c r="U142" s="2">
        <f>$M$3*U106</f>
        <v>-0.3093716968811143</v>
      </c>
      <c r="V142" s="2">
        <f>$M$3*V106</f>
        <v>-0.5453242676377402</v>
      </c>
      <c r="W142" s="2">
        <f>$M$3*W106</f>
        <v>-0.7441138907458154</v>
      </c>
      <c r="X142" s="2">
        <f>$M$3*X106</f>
        <v>-0.8921933819059104</v>
      </c>
      <c r="Y142" s="2">
        <f>$M$3*Y106</f>
        <v>-0.9794713685083943</v>
      </c>
      <c r="Z142" s="2">
        <f>$M$3*Z106</f>
        <v>-1</v>
      </c>
    </row>
    <row r="143" spans="1:26" s="24" customFormat="1" ht="12.75">
      <c r="A143" t="s">
        <v>134</v>
      </c>
      <c r="B143" s="31">
        <f>$M$3*B107</f>
        <v>-0.052335956242943835</v>
      </c>
      <c r="C143" s="31">
        <f>$M$3*C107</f>
        <v>-0.30937169688111477</v>
      </c>
      <c r="D143" s="31">
        <f>$M$3*D107</f>
        <v>-0.5453242676377401</v>
      </c>
      <c r="E143" s="31">
        <f>$M$3*E107</f>
        <v>-0.7441138907458155</v>
      </c>
      <c r="F143" s="31">
        <f>$M$3*F107</f>
        <v>-0.8921933819059105</v>
      </c>
      <c r="G143" s="31">
        <f>$M$3*G107</f>
        <v>-0.9794713685083943</v>
      </c>
      <c r="H143" s="31">
        <f>$M$3*H107</f>
        <v>-1</v>
      </c>
      <c r="I143" s="31">
        <f>$M$3*I107</f>
        <v>-0.9523802840697423</v>
      </c>
      <c r="J143" s="31">
        <f>$M$3*J107</f>
        <v>-0.8398574256629668</v>
      </c>
      <c r="K143" s="31">
        <f>$M$3*K107</f>
        <v>-0.6700996716272796</v>
      </c>
      <c r="L143" s="31">
        <f>$M$3*L107</f>
        <v>-0.4546757323622598</v>
      </c>
      <c r="M143" s="31">
        <f>$M$3*M107</f>
        <v>-0.208266393323927</v>
      </c>
      <c r="N143" s="2">
        <f>$M$3*N107</f>
        <v>0.05233595624294371</v>
      </c>
      <c r="O143" s="2">
        <f>$M$3*O107</f>
        <v>0.3093716968811148</v>
      </c>
      <c r="P143" s="2">
        <f>$M$3*P107</f>
        <v>0.5453242676377402</v>
      </c>
      <c r="Q143" s="2">
        <f>$M$3*Q107</f>
        <v>0.7441138907458155</v>
      </c>
      <c r="R143" s="2">
        <f>$M$3*R107</f>
        <v>0.8921933819059104</v>
      </c>
      <c r="S143" s="2">
        <f>$M$3*S107</f>
        <v>0.9794713685083943</v>
      </c>
      <c r="T143" s="2">
        <f>$M$3*T107</f>
        <v>1</v>
      </c>
      <c r="U143" s="2">
        <f>$M$3*U107</f>
        <v>0.9523802840697424</v>
      </c>
      <c r="V143" s="2">
        <f>$M$3*V107</f>
        <v>0.8398574256629667</v>
      </c>
      <c r="W143" s="2">
        <f>$M$3*W107</f>
        <v>0.6700996716272797</v>
      </c>
      <c r="X143" s="2">
        <f>$M$3*X107</f>
        <v>0.45467573236226033</v>
      </c>
      <c r="Y143" s="2">
        <f>$M$3*Y107</f>
        <v>0.20826639332392663</v>
      </c>
      <c r="Z143" s="2">
        <f>$M$3*Z107</f>
        <v>-0.05233595624294359</v>
      </c>
    </row>
    <row r="144" spans="1:26" s="24" customFormat="1" ht="12.75">
      <c r="A144" t="s">
        <v>135</v>
      </c>
      <c r="B144" s="31">
        <f>$B$6*$O$3</f>
        <v>0</v>
      </c>
      <c r="C144" s="31">
        <f>$B$6*$O$3</f>
        <v>0</v>
      </c>
      <c r="D144" s="31">
        <f>$B$6*$O$3</f>
        <v>0</v>
      </c>
      <c r="E144" s="31">
        <f>$B$6*$O$3</f>
        <v>0</v>
      </c>
      <c r="F144" s="31">
        <f>$B$6*$O$3</f>
        <v>0</v>
      </c>
      <c r="G144" s="31">
        <f>$B$6*$O$3</f>
        <v>0</v>
      </c>
      <c r="H144" s="31">
        <f>$B$6*$O$3</f>
        <v>0</v>
      </c>
      <c r="I144" s="31">
        <f>$B$6*$O$3</f>
        <v>0</v>
      </c>
      <c r="J144" s="31">
        <f>$B$6*$O$3</f>
        <v>0</v>
      </c>
      <c r="K144" s="31">
        <f>$B$6*$O$3</f>
        <v>0</v>
      </c>
      <c r="L144" s="31">
        <f>$B$6*$O$3</f>
        <v>0</v>
      </c>
      <c r="M144" s="31">
        <f>$B$6*$O$3</f>
        <v>0</v>
      </c>
      <c r="N144" s="2">
        <f>$B$6*$O$3</f>
        <v>0</v>
      </c>
      <c r="O144" s="2">
        <f>$B$6*$O$3</f>
        <v>0</v>
      </c>
      <c r="P144" s="2">
        <f>$B$6*$O$3</f>
        <v>0</v>
      </c>
      <c r="Q144" s="2">
        <f>$B$6*$O$3</f>
        <v>0</v>
      </c>
      <c r="R144" s="2">
        <f>$B$6*$O$3</f>
        <v>0</v>
      </c>
      <c r="S144" s="2">
        <f>$B$6*$O$3</f>
        <v>0</v>
      </c>
      <c r="T144" s="2">
        <f>$B$6*$O$3</f>
        <v>0</v>
      </c>
      <c r="U144" s="2">
        <f>$B$6*$O$3</f>
        <v>0</v>
      </c>
      <c r="V144" s="2">
        <f>$B$6*$O$3</f>
        <v>0</v>
      </c>
      <c r="W144" s="2">
        <f>$B$6*$O$3</f>
        <v>0</v>
      </c>
      <c r="X144" s="2">
        <f>$B$6*$O$3</f>
        <v>0</v>
      </c>
      <c r="Y144" s="2">
        <f>$B$6*$O$3</f>
        <v>0</v>
      </c>
      <c r="Z144" s="2">
        <f>$B$6*$O$3</f>
        <v>0</v>
      </c>
    </row>
    <row r="145" spans="1:26" s="24" customFormat="1" ht="12.75">
      <c r="A145" t="s">
        <v>136</v>
      </c>
      <c r="B145" s="31">
        <f>B142*B104+B143*B105+B144*B20</f>
        <v>0</v>
      </c>
      <c r="C145" s="31">
        <f>C142*C104+C143*C105+C144*C20</f>
        <v>0</v>
      </c>
      <c r="D145" s="31">
        <f>D142*D104+D143*D105+D144*D20</f>
        <v>0</v>
      </c>
      <c r="E145" s="31">
        <f>E142*E104+E143*E105+E144*E20</f>
        <v>0</v>
      </c>
      <c r="F145" s="31">
        <f>F142*F104+F143*F105+F144*F20</f>
        <v>0</v>
      </c>
      <c r="G145" s="31">
        <f>G142*G104+G143*G105+G144*G20</f>
        <v>0</v>
      </c>
      <c r="H145" s="31">
        <f>H142*H104+H143*H105+H144*H20</f>
        <v>0</v>
      </c>
      <c r="I145" s="31">
        <f>I142*I104+I143*I105+I144*I20</f>
        <v>0</v>
      </c>
      <c r="J145" s="31">
        <f>J142*J104+J143*J105+J144*J20</f>
        <v>0</v>
      </c>
      <c r="K145" s="31">
        <f>K142*K104+K143*K105+K144*K20</f>
        <v>0</v>
      </c>
      <c r="L145" s="31">
        <f>L142*L104+L143*L105+L144*L20</f>
        <v>0</v>
      </c>
      <c r="M145" s="31">
        <f>M142*M104+M143*M105+M144*M20</f>
        <v>0</v>
      </c>
      <c r="N145" s="2">
        <f>N142*N104+N143*N105+N144*N20</f>
        <v>0</v>
      </c>
      <c r="O145" s="2">
        <f>O142*O104+O143*O105+O144*O20</f>
        <v>0</v>
      </c>
      <c r="P145" s="2">
        <f>P142*P104+P143*P105+P144*P20</f>
        <v>0</v>
      </c>
      <c r="Q145" s="2">
        <f>Q142*Q104+Q143*Q105+Q144*Q20</f>
        <v>0</v>
      </c>
      <c r="R145" s="2">
        <f>R142*R104+R143*R105+R144*R20</f>
        <v>0</v>
      </c>
      <c r="S145" s="2">
        <f>S142*S104+S143*S105+S144*S20</f>
        <v>0</v>
      </c>
      <c r="T145" s="2">
        <f>T142*T104+T143*T105+T144*T20</f>
        <v>0</v>
      </c>
      <c r="U145" s="2">
        <f>U142*U104+U143*U105+U144*U20</f>
        <v>0</v>
      </c>
      <c r="V145" s="2">
        <f>V142*V104+V143*V105+V144*V20</f>
        <v>0</v>
      </c>
      <c r="W145" s="2">
        <f>W142*W104+W143*W105+W144*W20</f>
        <v>0</v>
      </c>
      <c r="X145" s="2">
        <f>X142*X104+X143*X105+X144*X20</f>
        <v>0</v>
      </c>
      <c r="Y145" s="2">
        <f>Y142*Y104+Y143*Y105+Y144*Y20</f>
        <v>0</v>
      </c>
      <c r="Z145" s="2">
        <f>Z142*Z104+Z143*Z105+Z144*Z20</f>
        <v>0</v>
      </c>
    </row>
    <row r="146" spans="1:256" s="24" customFormat="1" ht="12.75">
      <c r="A146" t="s">
        <v>137</v>
      </c>
      <c r="B146" s="31">
        <f>B105*$M$3*$I$10</f>
        <v>9.81</v>
      </c>
      <c r="C146" s="31">
        <f>C105*$M$3*$I$10</f>
        <v>9.342850586724172</v>
      </c>
      <c r="D146" s="31">
        <f>D105*$M$3*$I$10</f>
        <v>8.239001345753705</v>
      </c>
      <c r="E146" s="31">
        <f>E105*$M$3*$I$10</f>
        <v>6.573677778663613</v>
      </c>
      <c r="F146" s="31">
        <f>F105*$M$3*$I$10</f>
        <v>4.46036893447377</v>
      </c>
      <c r="G146" s="31">
        <f>G105*$M$3*$I$10</f>
        <v>2.043093318507721</v>
      </c>
      <c r="H146" s="31">
        <f>H105*$M$3*$I$10</f>
        <v>-0.5134157307432784</v>
      </c>
      <c r="I146" s="31">
        <f>I105*$M$3*$I$10</f>
        <v>-3.034936346403737</v>
      </c>
      <c r="J146" s="31">
        <f>J105*$M$3*$I$10</f>
        <v>-5.3496310655262285</v>
      </c>
      <c r="K146" s="31">
        <f>K105*$M$3*$I$10</f>
        <v>-7.29975726821645</v>
      </c>
      <c r="L146" s="31">
        <f>L105*$M$3*$I$10</f>
        <v>-8.752417076496982</v>
      </c>
      <c r="M146" s="31">
        <f>M105*$M$3*$I$10</f>
        <v>-9.608614125067348</v>
      </c>
      <c r="N146" s="31">
        <f>N105*$M$3*$I$10</f>
        <v>-9.81</v>
      </c>
      <c r="O146" s="31">
        <f>O105*$M$3*$I$10</f>
        <v>-9.342850586724172</v>
      </c>
      <c r="P146" s="31">
        <f>P105*$M$3*$I$10</f>
        <v>-8.239001345753705</v>
      </c>
      <c r="Q146" s="31">
        <f>Q105*$M$3*$I$10</f>
        <v>-6.573677778663614</v>
      </c>
      <c r="R146" s="31">
        <f>R105*$M$3*$I$10</f>
        <v>-4.460368934473774</v>
      </c>
      <c r="S146" s="31">
        <f>S105*$M$3*$I$10</f>
        <v>-2.0430933185077196</v>
      </c>
      <c r="T146" s="31">
        <f>T105*$M$3*$I$10</f>
        <v>0.5134157307432773</v>
      </c>
      <c r="U146" s="31">
        <f>U105*$M$3*$I$10</f>
        <v>3.0349363464037316</v>
      </c>
      <c r="V146" s="31">
        <f>V105*$M$3*$I$10</f>
        <v>5.349631065526232</v>
      </c>
      <c r="W146" s="31">
        <f>W105*$M$3*$I$10</f>
        <v>7.299757268216449</v>
      </c>
      <c r="X146" s="31">
        <f>X105*$M$3*$I$10</f>
        <v>8.75241707649698</v>
      </c>
      <c r="Y146" s="31">
        <f>Y105*$M$3*$I$10</f>
        <v>9.60861412506735</v>
      </c>
      <c r="Z146" s="31">
        <f>Z105*$M$3*$I$10</f>
        <v>9.81</v>
      </c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28"/>
      <c r="IU146" s="28"/>
      <c r="IV146" s="28"/>
    </row>
    <row r="147" spans="2:13" ht="12.75">
      <c r="B147" s="30">
        <f>B104*J217</f>
        <v>0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2:13" ht="12.7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1:256" ht="12.75">
      <c r="A149" t="s">
        <v>138</v>
      </c>
      <c r="B149" s="31">
        <f>0.5*$M$4*(B111^2+B112^2)+0.5*$O$4*B40^2</f>
        <v>0.3715551117672569</v>
      </c>
      <c r="C149" s="31">
        <f>0.5*$M$4*(C111^2+C112^2)+0.5*$O$4*C40^2</f>
        <v>0.2366670190450277</v>
      </c>
      <c r="D149" s="31">
        <f>0.5*$M$4*(D111^2+D112^2)+0.5*$O$4*D40^2</f>
        <v>0.1106978330429327</v>
      </c>
      <c r="E149" s="31">
        <f>0.5*$M$4*(E111^2+E112^2)+0.5*$O$4*E40^2</f>
        <v>0.03801967019449239</v>
      </c>
      <c r="F149" s="31">
        <f>0.5*$M$4*(F111^2+F112^2)+0.5*$O$4*F40^2</f>
        <v>0.042844888713045565</v>
      </c>
      <c r="G149" s="31">
        <f>0.5*$M$4*(G111^2+G112^2)+0.5*$O$4*G40^2</f>
        <v>0.12072209897884251</v>
      </c>
      <c r="H149" s="31">
        <f>0.5*$M$4*(H111^2+H112^2)+0.5*$O$4*H40^2</f>
        <v>0.24349610308012826</v>
      </c>
      <c r="I149" s="31">
        <f>0.5*$M$4*(I111^2+I112^2)+0.5*$O$4*I40^2</f>
        <v>0.3720799271909442</v>
      </c>
      <c r="J149" s="31">
        <f>0.5*$M$4*(J111^2+J112^2)+0.5*$O$4*J40^2</f>
        <v>0.46969177338214896</v>
      </c>
      <c r="K149" s="31">
        <f>0.5*$M$4*(K111^2+K112^2)+0.5*$O$4*K40^2</f>
        <v>0.5113683624362751</v>
      </c>
      <c r="L149" s="31">
        <f>0.5*$M$4*(L111^2+L112^2)+0.5*$O$4*L40^2</f>
        <v>0.48879923623217325</v>
      </c>
      <c r="M149" s="31">
        <f>0.5*$M$4*(M111^2+M112^2)+0.5*$O$4*M40^2</f>
        <v>0.4107485486100297</v>
      </c>
      <c r="N149" s="2">
        <f>0.5*$M$4*(N111^2+N112^2)+0.5*$O$4*N40^2</f>
        <v>0.2993803574630919</v>
      </c>
      <c r="O149" s="2">
        <f>0.5*$M$4*(O111^2+O112^2)+0.5*$O$4*O40^2</f>
        <v>0.1832971796026066</v>
      </c>
      <c r="P149" s="2">
        <f>0.5*$M$4*(P111^2+P112^2)+0.5*$O$4*P40^2</f>
        <v>0.08945287365083597</v>
      </c>
      <c r="Q149" s="2">
        <f>0.5*$M$4*(Q111^2+Q112^2)+0.5*$O$4*Q40^2</f>
        <v>0.03692222336011775</v>
      </c>
      <c r="R149" s="2">
        <f>0.5*$M$4*(R111^2+R112^2)+0.5*$O$4*R40^2</f>
        <v>0.03435676463410792</v>
      </c>
      <c r="S149" s="2">
        <f>0.5*$M$4*(S111^2+S112^2)+0.5*$O$4*S40^2</f>
        <v>0.08057126878853334</v>
      </c>
      <c r="T149" s="2">
        <f>0.5*$M$4*(T111^2+T112^2)+0.5*$O$4*T40^2</f>
        <v>0.16625944155038352</v>
      </c>
      <c r="U149" s="2">
        <f>0.5*$M$4*(U111^2+U112^2)+0.5*$O$4*U40^2</f>
        <v>0.275276626242363</v>
      </c>
      <c r="V149" s="2">
        <f>0.5*$M$4*(V111^2+V112^2)+0.5*$O$4*V40^2</f>
        <v>0.38544459339902204</v>
      </c>
      <c r="W149" s="2">
        <f>0.5*$M$4*(W111^2+W112^2)+0.5*$O$4*W40^2</f>
        <v>0.4703153954825006</v>
      </c>
      <c r="X149" s="2">
        <f>0.5*$M$4*(X111^2+X112^2)+0.5*$O$4*X40^2</f>
        <v>0.5039891239009043</v>
      </c>
      <c r="Y149" s="2">
        <f>0.5*$M$4*(Y111^2+Y112^2)+0.5*$O$4*Y40^2</f>
        <v>0.46997977979095373</v>
      </c>
      <c r="Z149" s="2">
        <f>0.5*$M$4*(Z111^2+Z112^2)+0.5*$O$4*Z40^2</f>
        <v>0.371555111767257</v>
      </c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</row>
    <row r="150" spans="1:256" ht="12.75">
      <c r="A150" t="s">
        <v>139</v>
      </c>
      <c r="B150" s="31">
        <f>$M$4*B113</f>
        <v>-0.4352160774661797</v>
      </c>
      <c r="C150" s="31">
        <f>$M$4*C113</f>
        <v>-0.6070983908361717</v>
      </c>
      <c r="D150" s="31">
        <f>$M$4*D113</f>
        <v>-0.7254841145798108</v>
      </c>
      <c r="E150" s="31">
        <f>$M$4*E113</f>
        <v>-0.7607730846427245</v>
      </c>
      <c r="F150" s="31">
        <f>$M$4*F113</f>
        <v>-0.7021684861065287</v>
      </c>
      <c r="G150" s="31">
        <f>$M$4*G113</f>
        <v>-0.5602709221458572</v>
      </c>
      <c r="H150" s="31">
        <f>$M$4*H113</f>
        <v>-0.361729414720263</v>
      </c>
      <c r="I150" s="31">
        <f>$M$4*I113</f>
        <v>-0.1404438991692218</v>
      </c>
      <c r="J150" s="31">
        <f>$M$4*J113</f>
        <v>0.07061551243396497</v>
      </c>
      <c r="K150" s="31">
        <f>$M$4*K113</f>
        <v>0.24534427542324622</v>
      </c>
      <c r="L150" s="31">
        <f>$M$4*L113</f>
        <v>0.36816781330864135</v>
      </c>
      <c r="M150" s="31">
        <f>$M$4*M113</f>
        <v>0.4355329546668272</v>
      </c>
      <c r="N150" s="2">
        <f>$M$4*N113</f>
        <v>0.4548641423818963</v>
      </c>
      <c r="O150" s="2">
        <f>$M$4*O113</f>
        <v>0.4407725787915112</v>
      </c>
      <c r="P150" s="2">
        <f>$M$4*P113</f>
        <v>0.4095017321320134</v>
      </c>
      <c r="Q150" s="2">
        <f>$M$4*Q113</f>
        <v>0.37381129486559717</v>
      </c>
      <c r="R150" s="2">
        <f>$M$4*R113</f>
        <v>0.3402238136919148</v>
      </c>
      <c r="S150" s="2">
        <f>$M$4*S113</f>
        <v>0.30886365173047203</v>
      </c>
      <c r="T150" s="2">
        <f>$M$4*T113</f>
        <v>0.27472458635426555</v>
      </c>
      <c r="U150" s="2">
        <f>$M$4*U113</f>
        <v>0.22921441089387629</v>
      </c>
      <c r="V150" s="2">
        <f>$M$4*V113</f>
        <v>0.16176189988855047</v>
      </c>
      <c r="W150" s="2">
        <f>$M$4*W113</f>
        <v>0.06216011456637967</v>
      </c>
      <c r="X150" s="2">
        <f>$M$4*X113</f>
        <v>-0.07548874126439367</v>
      </c>
      <c r="Y150" s="2">
        <f>$M$4*Y113</f>
        <v>-0.24734031990085437</v>
      </c>
      <c r="Z150" s="2">
        <f>$M$4*Z113</f>
        <v>-0.4352160774661797</v>
      </c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</row>
    <row r="151" spans="1:256" ht="12.75">
      <c r="A151" t="s">
        <v>140</v>
      </c>
      <c r="B151" s="31">
        <f>$M$4*B114</f>
        <v>-0.42301469049964224</v>
      </c>
      <c r="C151" s="31">
        <f>$M$4*C114</f>
        <v>-0.6206394757382339</v>
      </c>
      <c r="D151" s="31">
        <f>$M$4*D114</f>
        <v>-0.7654411534259122</v>
      </c>
      <c r="E151" s="31">
        <f>$M$4*E114</f>
        <v>-0.8490667956130642</v>
      </c>
      <c r="F151" s="31">
        <f>$M$4*F114</f>
        <v>-0.8718668924820759</v>
      </c>
      <c r="G151" s="31">
        <f>$M$4*G114</f>
        <v>-0.8374858621709401</v>
      </c>
      <c r="H151" s="31">
        <f>$M$4*H114</f>
        <v>-0.7493047965967584</v>
      </c>
      <c r="I151" s="31">
        <f>$M$4*I114</f>
        <v>-0.6105711246253738</v>
      </c>
      <c r="J151" s="31">
        <f>$M$4*J114</f>
        <v>-0.42689117770701474</v>
      </c>
      <c r="K151" s="31">
        <f>$M$4*K114</f>
        <v>-0.2088817739212645</v>
      </c>
      <c r="L151" s="31">
        <f>$M$4*L114</f>
        <v>0.026705829252399046</v>
      </c>
      <c r="M151" s="31">
        <f>$M$4*M114</f>
        <v>0.2583810047370916</v>
      </c>
      <c r="N151" s="2">
        <f>$M$4*N114</f>
        <v>0.46396503998862465</v>
      </c>
      <c r="O151" s="2">
        <f>$M$4*O114</f>
        <v>0.6259867805392417</v>
      </c>
      <c r="P151" s="2">
        <f>$M$4*P114</f>
        <v>0.7356836432239503</v>
      </c>
      <c r="Q151" s="2">
        <f>$M$4*Q114</f>
        <v>0.793183360334762</v>
      </c>
      <c r="R151" s="2">
        <f>$M$4*R114</f>
        <v>0.8039351331206089</v>
      </c>
      <c r="S151" s="2">
        <f>$M$4*S114</f>
        <v>0.7738928699625899</v>
      </c>
      <c r="T151" s="2">
        <f>$M$4*T114</f>
        <v>0.7061423661257473</v>
      </c>
      <c r="U151" s="2">
        <f>$M$4*U114</f>
        <v>0.6001889532351138</v>
      </c>
      <c r="V151" s="2">
        <f>$M$4*V114</f>
        <v>0.4538286502323613</v>
      </c>
      <c r="W151" s="2">
        <f>$M$4*W114</f>
        <v>0.2669772122089105</v>
      </c>
      <c r="X151" s="2">
        <f>$M$4*X114</f>
        <v>0.046258049191330496</v>
      </c>
      <c r="Y151" s="2">
        <f>$M$4*Y114</f>
        <v>-0.19196514937245157</v>
      </c>
      <c r="Z151" s="2">
        <f>$M$4*Z114</f>
        <v>-0.42301469049964197</v>
      </c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</row>
    <row r="152" spans="1:256" ht="12.75">
      <c r="A152" t="s">
        <v>141</v>
      </c>
      <c r="B152" s="31">
        <f>B44*$O$4</f>
        <v>-0.12495307797988567</v>
      </c>
      <c r="C152" s="31">
        <f>C44*$O$4</f>
        <v>-0.0872310640175438</v>
      </c>
      <c r="D152" s="31">
        <f>D44*$O$4</f>
        <v>-0.04462107201457616</v>
      </c>
      <c r="E152" s="31">
        <f>E44*$O$4</f>
        <v>-0.003210988826733041</v>
      </c>
      <c r="F152" s="31">
        <f>F44*$O$4</f>
        <v>0.032784415895562954</v>
      </c>
      <c r="G152" s="31">
        <f>G44*$O$4</f>
        <v>0.06169485525970445</v>
      </c>
      <c r="H152" s="31">
        <f>H44*$O$4</f>
        <v>0.08386705506787052</v>
      </c>
      <c r="I152" s="31">
        <f>I44*$O$4</f>
        <v>0.1005904307364712</v>
      </c>
      <c r="J152" s="31">
        <f>J44*$O$4</f>
        <v>0.11308775115014678</v>
      </c>
      <c r="K152" s="31">
        <f>K44*$O$4</f>
        <v>0.12184632169822132</v>
      </c>
      <c r="L152" s="31">
        <f>L44*$O$4</f>
        <v>0.12634580876782164</v>
      </c>
      <c r="M152" s="31">
        <f>M44*$O$4</f>
        <v>0.12520149674622338</v>
      </c>
      <c r="N152" s="31">
        <f>N44*$O$4</f>
        <v>0.11672036016111705</v>
      </c>
      <c r="O152" s="31">
        <f>O44*$O$4</f>
        <v>0.09970688158937521</v>
      </c>
      <c r="P152" s="31">
        <f>P44*$O$4</f>
        <v>0.07413241162315976</v>
      </c>
      <c r="Q152" s="31">
        <f>Q44*$O$4</f>
        <v>0.04129374508005624</v>
      </c>
      <c r="R152" s="31">
        <f>R44*$O$4</f>
        <v>0.0034504775259552897</v>
      </c>
      <c r="S152" s="31">
        <f>S44*$O$4</f>
        <v>-0.03669095435752005</v>
      </c>
      <c r="T152" s="31">
        <f>T44*$O$4</f>
        <v>-0.07626372540915198</v>
      </c>
      <c r="U152" s="31">
        <f>U44*$O$4</f>
        <v>-0.11220594706723382</v>
      </c>
      <c r="V152" s="31">
        <f>V44*$O$4</f>
        <v>-0.14110993838934746</v>
      </c>
      <c r="W152" s="31">
        <f>W44*$O$4</f>
        <v>-0.15930012628747728</v>
      </c>
      <c r="X152" s="31">
        <f>X44*$O$4</f>
        <v>-0.16344046652099214</v>
      </c>
      <c r="Y152" s="31">
        <f>Y44*$O$4</f>
        <v>-0.15169465043122438</v>
      </c>
      <c r="Z152" s="31">
        <f>Z44*$O$4</f>
        <v>-0.12495307797988567</v>
      </c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  <c r="IT152" s="28"/>
      <c r="IU152" s="28"/>
      <c r="IV152" s="28"/>
    </row>
    <row r="153" spans="1:256" ht="12.75">
      <c r="A153" t="s">
        <v>142</v>
      </c>
      <c r="B153" s="31">
        <f>B150*B111+B151*B112+B152*B40</f>
        <v>-0.4838636191428611</v>
      </c>
      <c r="C153" s="31">
        <f>C150*C111+C151*C112+C152*C40</f>
        <v>-0.540886301582831</v>
      </c>
      <c r="D153" s="31">
        <f>D150*D111+D151*D112+D152*D40</f>
        <v>-0.4081568331815885</v>
      </c>
      <c r="E153" s="31">
        <f>E150*E111+E151*E112+E152*E40</f>
        <v>-0.13286382720282175</v>
      </c>
      <c r="F153" s="31">
        <f>F150*F111+F151*F112+F152*F40</f>
        <v>0.1788064452246315</v>
      </c>
      <c r="G153" s="31">
        <f>G150*G111+G151*G112+G152*G40</f>
        <v>0.4163971238672112</v>
      </c>
      <c r="H153" s="31">
        <f>H150*H111+H151*H112+H152*H40</f>
        <v>0.5112636400547087</v>
      </c>
      <c r="I153" s="31">
        <f>I150*I111+I151*I112+I152*I40</f>
        <v>0.4516815956629404</v>
      </c>
      <c r="J153" s="31">
        <f>J150*J111+J151*J112+J152*J40</f>
        <v>0.2720715328570322</v>
      </c>
      <c r="K153" s="31">
        <f>K150*K111+K151*K112+K152*K40</f>
        <v>0.03238682187882457</v>
      </c>
      <c r="L153" s="31">
        <f>L150*L111+L151*L112+L152*L40</f>
        <v>-0.2012684758172933</v>
      </c>
      <c r="M153" s="31">
        <f>M150*M111+M151*M112+M152*M40</f>
        <v>-0.37205071166654846</v>
      </c>
      <c r="N153" s="31">
        <f>N150*N111+N151*N112+N152*N40</f>
        <v>-0.4443106962797511</v>
      </c>
      <c r="O153" s="31">
        <f>O150*O111+O151*O112+O152*O40</f>
        <v>-0.4103434380675605</v>
      </c>
      <c r="P153" s="31">
        <f>P150*P111+P151*P112+P152*P40</f>
        <v>-0.2884296400880863</v>
      </c>
      <c r="Q153" s="31">
        <f>Q150*Q111+Q151*Q112+Q152*Q40</f>
        <v>-0.1124755875391207</v>
      </c>
      <c r="R153" s="31">
        <f>R150*R111+R151*R112+R152*R40</f>
        <v>0.080228465458295</v>
      </c>
      <c r="S153" s="31">
        <f>S150*S111+S151*S112+S152*S40</f>
        <v>0.2560179784734462</v>
      </c>
      <c r="T153" s="31">
        <f>T150*T111+T151*T112+T152*T40</f>
        <v>0.38526313402938</v>
      </c>
      <c r="U153" s="31">
        <f>U150*U111+U151*U112+U152*U40</f>
        <v>0.44041737089351446</v>
      </c>
      <c r="V153" s="31">
        <f>V150*V111+V151*V112+V152*V40</f>
        <v>0.39756630489987344</v>
      </c>
      <c r="W153" s="31">
        <f>W150*W111+W151*W112+W152*W40</f>
        <v>0.24561765199030106</v>
      </c>
      <c r="X153" s="31">
        <f>X150*X111+X151*X112+X152*X40</f>
        <v>0.0023497466483547217</v>
      </c>
      <c r="Y153" s="31">
        <f>Y150*Y111+Y151*Y112+Y152*Y40</f>
        <v>-0.27237867853327163</v>
      </c>
      <c r="Z153" s="31">
        <f>Z150*Z111+Z151*Z112+Z152*Z40</f>
        <v>-0.48386361914286097</v>
      </c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  <c r="IT153" s="28"/>
      <c r="IU153" s="28"/>
      <c r="IV153" s="28"/>
    </row>
    <row r="154" spans="1:256" ht="12.75">
      <c r="A154" t="s">
        <v>143</v>
      </c>
      <c r="B154" s="31">
        <f>B112*$M$4*$I$10</f>
        <v>7.421581620736038</v>
      </c>
      <c r="C154" s="31">
        <f>C112*$M$4*$I$10</f>
        <v>6.071762557555558</v>
      </c>
      <c r="D154" s="31">
        <f>D112*$M$4*$I$10</f>
        <v>4.279226711023423</v>
      </c>
      <c r="E154" s="31">
        <f>E112*$M$4*$I$10</f>
        <v>2.192702337279704</v>
      </c>
      <c r="F154" s="31">
        <f>F112*$M$4*$I$10</f>
        <v>-0.029850969224273115</v>
      </c>
      <c r="G154" s="31">
        <f>G112*$M$4*$I$10</f>
        <v>-2.2367154813124346</v>
      </c>
      <c r="H154" s="31">
        <f>H112*$M$4*$I$10</f>
        <v>-4.285555239665913</v>
      </c>
      <c r="I154" s="31">
        <f>I112*$M$4*$I$10</f>
        <v>-6.042178102394532</v>
      </c>
      <c r="J154" s="31">
        <f>J112*$M$4*$I$10</f>
        <v>-7.383129954356656</v>
      </c>
      <c r="K154" s="31">
        <f>K112*$M$4*$I$10</f>
        <v>-8.205333457404876</v>
      </c>
      <c r="L154" s="31">
        <f>L112*$M$4*$I$10</f>
        <v>-8.440858535515517</v>
      </c>
      <c r="M154" s="31">
        <f>M112*$M$4*$I$10</f>
        <v>-8.07148307002397</v>
      </c>
      <c r="N154" s="31">
        <f>N112*$M$4*$I$10</f>
        <v>-7.136158835502219</v>
      </c>
      <c r="O154" s="31">
        <f>O112*$M$4*$I$10</f>
        <v>-5.725880827506676</v>
      </c>
      <c r="P154" s="31">
        <f>P112*$M$4*$I$10</f>
        <v>-3.9658377013095563</v>
      </c>
      <c r="Q154" s="31">
        <f>Q112*$M$4*$I$10</f>
        <v>-1.991880094731772</v>
      </c>
      <c r="R154" s="31">
        <f>R112*$M$4*$I$10</f>
        <v>0.0683231219098713</v>
      </c>
      <c r="S154" s="31">
        <f>S112*$M$4*$I$10</f>
        <v>2.102704401999051</v>
      </c>
      <c r="T154" s="31">
        <f>T112*$M$4*$I$10</f>
        <v>4.011256646339769</v>
      </c>
      <c r="U154" s="31">
        <f>U112*$M$4*$I$10</f>
        <v>5.697158237166453</v>
      </c>
      <c r="V154" s="31">
        <f>V112*$M$4*$I$10</f>
        <v>7.059480673673323</v>
      </c>
      <c r="W154" s="31">
        <f>W112*$M$4*$I$10</f>
        <v>7.993390968488812</v>
      </c>
      <c r="X154" s="31">
        <f>X112*$M$4*$I$10</f>
        <v>8.401522462435082</v>
      </c>
      <c r="Y154" s="31">
        <f>Y112*$M$4*$I$10</f>
        <v>8.215752530341305</v>
      </c>
      <c r="Z154" s="31">
        <f>Z112*$M$4*$I$10</f>
        <v>7.421581620736037</v>
      </c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  <c r="IT154" s="28"/>
      <c r="IU154" s="28"/>
      <c r="IV154" s="28"/>
    </row>
    <row r="155" spans="2:13" ht="12.7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2:13" ht="12.7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1:256" ht="12.75">
      <c r="A157" t="s">
        <v>144</v>
      </c>
      <c r="B157" s="31">
        <f>0.5*$M$5*(B118^2+B119^2)+0.5*$O$5*B41^2</f>
        <v>0.13003089800263634</v>
      </c>
      <c r="C157" s="31">
        <f>0.5*$M$5*(C118^2+C119^2)+0.5*$O$5*C41^2</f>
        <v>0.07918570512520222</v>
      </c>
      <c r="D157" s="31">
        <f>0.5*$M$5*(D118^2+D119^2)+0.5*$O$5*D41^2</f>
        <v>0.031010138527009214</v>
      </c>
      <c r="E157" s="31">
        <f>0.5*$M$5*(E118^2+E119^2)+0.5*$O$5*E41^2</f>
        <v>0.00297554708290993</v>
      </c>
      <c r="F157" s="31">
        <f>0.5*$M$5*(F118^2+F119^2)+0.5*$O$5*F41^2</f>
        <v>0.005071922924818519</v>
      </c>
      <c r="G157" s="31">
        <f>0.5*$M$5*(G118^2+G119^2)+0.5*$O$5*G41^2</f>
        <v>0.03586094632349164</v>
      </c>
      <c r="H157" s="31">
        <f>0.5*$M$5*(H118^2+H119^2)+0.5*$O$5*H41^2</f>
        <v>0.08411610049361574</v>
      </c>
      <c r="I157" s="31">
        <f>0.5*$M$5*(I118^2+I119^2)+0.5*$O$5*I41^2</f>
        <v>0.133986471297976</v>
      </c>
      <c r="J157" s="31">
        <f>0.5*$M$5*(J118^2+J119^2)+0.5*$O$5*J41^2</f>
        <v>0.1705977172466882</v>
      </c>
      <c r="K157" s="31">
        <f>0.5*$M$5*(K118^2+K119^2)+0.5*$O$5*K41^2</f>
        <v>0.18416869287648818</v>
      </c>
      <c r="L157" s="31">
        <f>0.5*$M$5*(L118^2+L119^2)+0.5*$O$5*L41^2</f>
        <v>0.1720754131118733</v>
      </c>
      <c r="M157" s="31">
        <f>0.5*$M$5*(M118^2+M119^2)+0.5*$O$5*M41^2</f>
        <v>0.13887069124924262</v>
      </c>
      <c r="N157" s="31">
        <f>0.5*$M$5*(N118^2+N119^2)+0.5*$O$5*N41^2</f>
        <v>0.0943941448621076</v>
      </c>
      <c r="O157" s="31">
        <f>0.5*$M$5*(O118^2+O119^2)+0.5*$O$5*O41^2</f>
        <v>0.05046196808911434</v>
      </c>
      <c r="P157" s="31">
        <f>0.5*$M$5*(P118^2+P119^2)+0.5*$O$5*P41^2</f>
        <v>0.01730135743751959</v>
      </c>
      <c r="Q157" s="31">
        <f>0.5*$M$5*(Q118^2+Q119^2)+0.5*$O$5*Q41^2</f>
        <v>0.00116984722544866</v>
      </c>
      <c r="R157" s="31">
        <f>0.5*$M$5*(R118^2+R119^2)+0.5*$O$5*R41^2</f>
        <v>0.0038693804029603504</v>
      </c>
      <c r="S157" s="31">
        <f>0.5*$M$5*(S118^2+S119^2)+0.5*$O$5*S41^2</f>
        <v>0.023651763711074563</v>
      </c>
      <c r="T157" s="31">
        <f>0.5*$M$5*(T118^2+T119^2)+0.5*$O$5*T41^2</f>
        <v>0.05640146511609228</v>
      </c>
      <c r="U157" s="31">
        <f>0.5*$M$5*(U118^2+U119^2)+0.5*$O$5*U41^2</f>
        <v>0.09630147640870886</v>
      </c>
      <c r="V157" s="31">
        <f>0.5*$M$5*(V118^2+V119^2)+0.5*$O$5*V41^2</f>
        <v>0.13593506152106746</v>
      </c>
      <c r="W157" s="31">
        <f>0.5*$M$5*(W118^2+W119^2)+0.5*$O$5*W41^2</f>
        <v>0.16644722350080612</v>
      </c>
      <c r="X157" s="31">
        <f>0.5*$M$5*(X118^2+X119^2)+0.5*$O$5*X41^2</f>
        <v>0.1787494349729685</v>
      </c>
      <c r="Y157" s="31">
        <f>0.5*$M$5*(Y118^2+Y119^2)+0.5*$O$5*Y41^2</f>
        <v>0.16647270134653966</v>
      </c>
      <c r="Z157" s="31">
        <f>0.5*$M$5*(Z118^2+Z119^2)+0.5*$O$5*Z41^2</f>
        <v>0.13003089800263629</v>
      </c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  <c r="IU157" s="28"/>
      <c r="IV157" s="28"/>
    </row>
    <row r="158" spans="1:256" ht="12.75">
      <c r="A158" t="s">
        <v>145</v>
      </c>
      <c r="B158" s="31">
        <f>$M$5*B120</f>
        <v>-0.16873353072056532</v>
      </c>
      <c r="C158" s="31">
        <f>$M$5*C120</f>
        <v>-0.298512236730606</v>
      </c>
      <c r="D158" s="31">
        <f>$M$5*D120</f>
        <v>-0.4003848471889798</v>
      </c>
      <c r="E158" s="31">
        <f>$M$5*E120</f>
        <v>-0.45196493369092244</v>
      </c>
      <c r="F158" s="31">
        <f>$M$5*F120</f>
        <v>-0.4440212109857006</v>
      </c>
      <c r="G158" s="31">
        <f>$M$5*G120</f>
        <v>-0.3817845670372971</v>
      </c>
      <c r="H158" s="31">
        <f>$M$5*H120</f>
        <v>-0.2806375481664506</v>
      </c>
      <c r="I158" s="31">
        <f>$M$5*I120</f>
        <v>-0.16009018543893183</v>
      </c>
      <c r="J158" s="31">
        <f>$M$5*J120</f>
        <v>-0.038922826202067246</v>
      </c>
      <c r="K158" s="31">
        <f>$M$5*K120</f>
        <v>0.06779922438867284</v>
      </c>
      <c r="L158" s="31">
        <f>$M$5*L120</f>
        <v>0.15031810490342767</v>
      </c>
      <c r="M158" s="31">
        <f>$M$5*M120</f>
        <v>0.20485949557981992</v>
      </c>
      <c r="N158" s="31">
        <f>$M$5*N120</f>
        <v>0.2333902161926969</v>
      </c>
      <c r="O158" s="31">
        <f>$M$5*O120</f>
        <v>0.2422221290099642</v>
      </c>
      <c r="P158" s="31">
        <f>$M$5*P120</f>
        <v>0.2395961701477808</v>
      </c>
      <c r="Q158" s="31">
        <f>$M$5*Q120</f>
        <v>0.23303494487187912</v>
      </c>
      <c r="R158" s="31">
        <f>$M$5*R120</f>
        <v>0.22742005265211315</v>
      </c>
      <c r="S158" s="31">
        <f>$M$5*S120</f>
        <v>0.22416260288090858</v>
      </c>
      <c r="T158" s="31">
        <f>$M$5*T120</f>
        <v>0.2211291045768175</v>
      </c>
      <c r="U158" s="31">
        <f>$M$5*U120</f>
        <v>0.2128539472077865</v>
      </c>
      <c r="V158" s="31">
        <f>$M$5*V120</f>
        <v>0.19104002554370458</v>
      </c>
      <c r="W158" s="31">
        <f>$M$5*W120</f>
        <v>0.14598639732097413</v>
      </c>
      <c r="X158" s="31">
        <f>$M$5*X120</f>
        <v>0.06980629025043535</v>
      </c>
      <c r="Y158" s="31">
        <f>$M$5*Y120</f>
        <v>-0.038566819365459755</v>
      </c>
      <c r="Z158" s="31">
        <f>$M$5*Z120</f>
        <v>-0.16873353072056535</v>
      </c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28"/>
      <c r="IU158" s="28"/>
      <c r="IV158" s="28"/>
    </row>
    <row r="159" spans="1:256" ht="12.75">
      <c r="A159" t="s">
        <v>146</v>
      </c>
      <c r="B159" s="31">
        <f>$M$5*B121</f>
        <v>-0.29544763361491067</v>
      </c>
      <c r="C159" s="31">
        <f>$M$5*C121</f>
        <v>-0.3913541632937393</v>
      </c>
      <c r="D159" s="31">
        <f>$M$5*D121</f>
        <v>-0.4535308522238389</v>
      </c>
      <c r="E159" s="31">
        <f>$M$5*E121</f>
        <v>-0.4799852424251095</v>
      </c>
      <c r="F159" s="31">
        <f>$M$5*F121</f>
        <v>-0.4737190971407177</v>
      </c>
      <c r="G159" s="31">
        <f>$M$5*G121</f>
        <v>-0.4385743314743315</v>
      </c>
      <c r="H159" s="31">
        <f>$M$5*H121</f>
        <v>-0.37686947954988526</v>
      </c>
      <c r="I159" s="31">
        <f>$M$5*I121</f>
        <v>-0.2898722205457524</v>
      </c>
      <c r="J159" s="31">
        <f>$M$5*J121</f>
        <v>-0.17993999289898024</v>
      </c>
      <c r="K159" s="31">
        <f>$M$5*K121</f>
        <v>-0.05268242752483366</v>
      </c>
      <c r="L159" s="31">
        <f>$M$5*L121</f>
        <v>0.08204134303962948</v>
      </c>
      <c r="M159" s="31">
        <f>$M$5*M121</f>
        <v>0.21097727260512744</v>
      </c>
      <c r="N159" s="31">
        <f>$M$5*N121</f>
        <v>0.3202895424181438</v>
      </c>
      <c r="O159" s="31">
        <f>$M$5*O121</f>
        <v>0.3994093702380002</v>
      </c>
      <c r="P159" s="31">
        <f>$M$5*P121</f>
        <v>0.4439375388681394</v>
      </c>
      <c r="Q159" s="31">
        <f>$M$5*Q121</f>
        <v>0.4557984715503201</v>
      </c>
      <c r="R159" s="31">
        <f>$M$5*R121</f>
        <v>0.4406363852536317</v>
      </c>
      <c r="S159" s="31">
        <f>$M$5*S121</f>
        <v>0.40424914844056836</v>
      </c>
      <c r="T159" s="31">
        <f>$M$5*T121</f>
        <v>0.3500434011841833</v>
      </c>
      <c r="U159" s="31">
        <f>$M$5*U121</f>
        <v>0.27843392725422667</v>
      </c>
      <c r="V159" s="31">
        <f>$M$5*V121</f>
        <v>0.18813614777616022</v>
      </c>
      <c r="W159" s="31">
        <f>$M$5*W121</f>
        <v>0.07885302351430044</v>
      </c>
      <c r="X159" s="31">
        <f>$M$5*X121</f>
        <v>-0.04557730287942536</v>
      </c>
      <c r="Y159" s="31">
        <f>$M$5*Y121</f>
        <v>-0.17525282857090677</v>
      </c>
      <c r="Z159" s="31">
        <f>$M$5*Z121</f>
        <v>-0.2954476336149106</v>
      </c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  <c r="IT159" s="28"/>
      <c r="IU159" s="28"/>
      <c r="IV159" s="28"/>
    </row>
    <row r="160" spans="1:256" ht="12.75">
      <c r="A160" t="s">
        <v>147</v>
      </c>
      <c r="B160" s="31">
        <f>B45*$O$5</f>
        <v>0.08274861600975522</v>
      </c>
      <c r="C160" s="31">
        <f>C45*$O$5</f>
        <v>0.12131100460865399</v>
      </c>
      <c r="D160" s="31">
        <f>D45*$O$5</f>
        <v>0.14948283125315745</v>
      </c>
      <c r="E160" s="31">
        <f>E45*$O$5</f>
        <v>0.16294783930343124</v>
      </c>
      <c r="F160" s="31">
        <f>F45*$O$5</f>
        <v>0.16047406784000015</v>
      </c>
      <c r="G160" s="31">
        <f>G45*$O$5</f>
        <v>0.14365586308196293</v>
      </c>
      <c r="H160" s="31">
        <f>H45*$O$5</f>
        <v>0.1157305224839664</v>
      </c>
      <c r="I160" s="31">
        <f>I45*$O$5</f>
        <v>0.08037734168121037</v>
      </c>
      <c r="J160" s="31">
        <f>J45*$O$5</f>
        <v>0.04104409579609595</v>
      </c>
      <c r="K160" s="31">
        <f>K45*$O$5</f>
        <v>0.0008237510579401218</v>
      </c>
      <c r="L160" s="31">
        <f>L45*$O$5</f>
        <v>-0.03740206231574718</v>
      </c>
      <c r="M160" s="31">
        <f>M45*$O$5</f>
        <v>-0.070901984990244</v>
      </c>
      <c r="N160" s="31">
        <f>N45*$O$5</f>
        <v>-0.09734491111331599</v>
      </c>
      <c r="O160" s="31">
        <f>O45*$O$5</f>
        <v>-0.11530596494049203</v>
      </c>
      <c r="P160" s="31">
        <f>P45*$O$5</f>
        <v>-0.12466740104733669</v>
      </c>
      <c r="Q160" s="31">
        <f>Q45*$O$5</f>
        <v>-0.12652424010780206</v>
      </c>
      <c r="R160" s="31">
        <f>R45*$O$5</f>
        <v>-0.12255602362770979</v>
      </c>
      <c r="S160" s="31">
        <f>S45*$O$5</f>
        <v>-0.11421422649747529</v>
      </c>
      <c r="T160" s="31">
        <f>T45*$O$5</f>
        <v>-0.10212706671258452</v>
      </c>
      <c r="U160" s="31">
        <f>U45*$O$5</f>
        <v>-0.08591011689639436</v>
      </c>
      <c r="V160" s="31">
        <f>V45*$O$5</f>
        <v>-0.06439476518211913</v>
      </c>
      <c r="W160" s="31">
        <f>W45*$O$5</f>
        <v>-0.0362550776696464</v>
      </c>
      <c r="X160" s="31">
        <f>X45*$O$5</f>
        <v>-0.000987903486186331</v>
      </c>
      <c r="Y160" s="31">
        <f>Y45*$O$5</f>
        <v>0.03999581147087979</v>
      </c>
      <c r="Z160" s="31">
        <f>Z45*$O$5</f>
        <v>0.08274861600975522</v>
      </c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28"/>
      <c r="IU160" s="28"/>
      <c r="IV160" s="28"/>
    </row>
    <row r="161" spans="1:256" ht="12.75">
      <c r="A161" t="s">
        <v>148</v>
      </c>
      <c r="B161" s="31">
        <f>B158*B118+B159*B119+B160*B41</f>
        <v>-0.1758729008071587</v>
      </c>
      <c r="C161" s="31">
        <f>C158*C118+C159*C119+C160*C41</f>
        <v>-0.2012048756613845</v>
      </c>
      <c r="D161" s="31">
        <f>D158*D118+D159*D119+D160*D41</f>
        <v>-0.15515224895872654</v>
      </c>
      <c r="E161" s="31">
        <f>E158*E118+E159*E119+E160*E41</f>
        <v>-0.0523898224280376</v>
      </c>
      <c r="F161" s="31">
        <f>F158*F118+F159*F119+F160*F41</f>
        <v>0.06736062239656822</v>
      </c>
      <c r="G161" s="31">
        <f>G158*G118+G159*G119+G160*G41</f>
        <v>0.1603426790716302</v>
      </c>
      <c r="H161" s="31">
        <f>H158*H118+H159*H119+H160*H41</f>
        <v>0.1978346625222508</v>
      </c>
      <c r="I161" s="31">
        <f>I158*I118+I159*I119+I160*I41</f>
        <v>0.17341194946560126</v>
      </c>
      <c r="J161" s="31">
        <f>J158*J118+J159*J119+J160*J41</f>
        <v>0.09991994985990357</v>
      </c>
      <c r="K161" s="31">
        <f>K158*K118+K159*K119+K160*K41</f>
        <v>0.0020836213330720083</v>
      </c>
      <c r="L161" s="31">
        <f>L158*L118+L159*L119+L160*L41</f>
        <v>-0.09144708513577451</v>
      </c>
      <c r="M161" s="31">
        <f>M158*M118+M159*M119+M160*M41</f>
        <v>-0.15573226484162916</v>
      </c>
      <c r="N161" s="31">
        <f>N158*N118+N159*N119+N160*N41</f>
        <v>-0.17627904465192798</v>
      </c>
      <c r="O161" s="31">
        <f>O158*O118+O159*O119+O160*O41</f>
        <v>-0.15266826634678568</v>
      </c>
      <c r="P161" s="31">
        <f>P158*P118+P159*P119+P160*P41</f>
        <v>-0.09665134501542463</v>
      </c>
      <c r="Q161" s="31">
        <f>Q158*Q118+Q159*Q119+Q160*Q41</f>
        <v>-0.02550663805074462</v>
      </c>
      <c r="R161" s="31">
        <f>R158*R118+R159*R119+R160*R41</f>
        <v>0.04493350354540123</v>
      </c>
      <c r="S161" s="31">
        <f>S158*S118+S159*S119+S160*S41</f>
        <v>0.10353015775126995</v>
      </c>
      <c r="T161" s="31">
        <f>T158*T118+T159*T119+T160*T41</f>
        <v>0.14295552940026734</v>
      </c>
      <c r="U161" s="31">
        <f>U158*U118+U159*U119+U160*U41</f>
        <v>0.15713599856222818</v>
      </c>
      <c r="V161" s="31">
        <f>V158*V118+V159*V119+V160*V41</f>
        <v>0.13993656687384168</v>
      </c>
      <c r="W161" s="31">
        <f>W158*W118+W159*W119+W160*W41</f>
        <v>0.08718103577802827</v>
      </c>
      <c r="X161" s="31">
        <f>X158*X118+X159*X119+X160*X41</f>
        <v>0.0024617943119158363</v>
      </c>
      <c r="Y161" s="31">
        <f>Y158*Y118+Y159*Y119+Y160*Y41</f>
        <v>-0.09618357897438415</v>
      </c>
      <c r="Z161" s="31">
        <f>Z158*Z118+Z159*Z119+Z160*Z41</f>
        <v>-0.17587290080715864</v>
      </c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28"/>
      <c r="IU161" s="28"/>
      <c r="IV161" s="28"/>
    </row>
    <row r="162" spans="1:256" ht="12.75">
      <c r="A162" t="s">
        <v>149</v>
      </c>
      <c r="B162" s="31">
        <f>B119*$M$5*$I$10</f>
        <v>3.721080545434603</v>
      </c>
      <c r="C162" s="31">
        <f>C119*$M$5*$I$10</f>
        <v>2.8326401126927134</v>
      </c>
      <c r="D162" s="31">
        <f>D119*$M$5*$I$10</f>
        <v>1.7399945417267226</v>
      </c>
      <c r="E162" s="31">
        <f>E119*$M$5*$I$10</f>
        <v>0.5338069106479134</v>
      </c>
      <c r="F162" s="31">
        <f>F119*$M$5*$I$10</f>
        <v>-0.6974238433676242</v>
      </c>
      <c r="G162" s="31">
        <f>G119*$M$5*$I$10</f>
        <v>-1.8747849824649705</v>
      </c>
      <c r="H162" s="31">
        <f>H119*$M$5*$I$10</f>
        <v>-2.92746075967207</v>
      </c>
      <c r="I162" s="31">
        <f>I119*$M$5*$I$10</f>
        <v>-3.7888927830456085</v>
      </c>
      <c r="J162" s="31">
        <f>J119*$M$5*$I$10</f>
        <v>-4.3966593109070295</v>
      </c>
      <c r="K162" s="31">
        <f>K119*$M$5*$I$10</f>
        <v>-4.698195529675201</v>
      </c>
      <c r="L162" s="31">
        <f>L119*$M$5*$I$10</f>
        <v>-4.66076701277244</v>
      </c>
      <c r="M162" s="31">
        <f>M119*$M$5*$I$10</f>
        <v>-4.281723896266181</v>
      </c>
      <c r="N162" s="31">
        <f>N119*$M$5*$I$10</f>
        <v>-3.593977381363393</v>
      </c>
      <c r="O162" s="31">
        <f>O119*$M$5*$I$10</f>
        <v>-2.662589169827073</v>
      </c>
      <c r="P162" s="31">
        <f>P119*$M$5*$I$10</f>
        <v>-1.572213883908319</v>
      </c>
      <c r="Q162" s="31">
        <f>Q119*$M$5*$I$10</f>
        <v>-0.410377578957114</v>
      </c>
      <c r="R162" s="31">
        <f>R119*$M$5*$I$10</f>
        <v>0.7458626095738067</v>
      </c>
      <c r="S162" s="31">
        <f>S119*$M$5*$I$10</f>
        <v>1.8348578434704548</v>
      </c>
      <c r="T162" s="31">
        <f>T119*$M$5*$I$10</f>
        <v>2.8071278012015894</v>
      </c>
      <c r="U162" s="31">
        <f>U119*$M$5*$I$10</f>
        <v>3.6180115269959336</v>
      </c>
      <c r="V162" s="31">
        <f>V119*$M$5*$I$10</f>
        <v>4.221279867107638</v>
      </c>
      <c r="W162" s="31">
        <f>W119*$M$5*$I$10</f>
        <v>4.567998725592186</v>
      </c>
      <c r="X162" s="31">
        <f>X119*$M$5*$I$10</f>
        <v>4.613156827354941</v>
      </c>
      <c r="Y162" s="31">
        <f>Y119*$M$5*$I$10</f>
        <v>4.329248820428518</v>
      </c>
      <c r="Z162" s="31">
        <f>Z119*$M$5*$I$10</f>
        <v>3.7210805454346025</v>
      </c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  <c r="IT162" s="28"/>
      <c r="IU162" s="28"/>
      <c r="IV162" s="28"/>
    </row>
    <row r="163" spans="2:13" ht="12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</row>
    <row r="164" spans="2:13" ht="12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1:256" ht="12.75">
      <c r="A165" t="s">
        <v>150</v>
      </c>
      <c r="B165" s="31">
        <f>0.5*$M$6*(B125^2+B126^2)+0.5*$O$6*B41^2</f>
        <v>0.020052044568929873</v>
      </c>
      <c r="C165" s="31">
        <f>0.5*$M$6*(C125^2+C126^2)+0.5*$O$6*C41^2</f>
        <v>0.010680177625667185</v>
      </c>
      <c r="D165" s="31">
        <f>0.5*$M$6*(D125^2+D126^2)+0.5*$O$6*D41^2</f>
        <v>0.003821811678623117</v>
      </c>
      <c r="E165" s="31">
        <f>0.5*$M$6*(E125^2+E126^2)+0.5*$O$6*E41^2</f>
        <v>0.00035100480569251425</v>
      </c>
      <c r="F165" s="31">
        <f>0.5*$M$6*(F125^2+F126^2)+0.5*$O$6*F41^2</f>
        <v>0.0006001963455415369</v>
      </c>
      <c r="G165" s="31">
        <f>0.5*$M$6*(G125^2+G126^2)+0.5*$O$6*G41^2</f>
        <v>0.004459877726251919</v>
      </c>
      <c r="H165" s="31">
        <f>0.5*$M$6*(H125^2+H126^2)+0.5*$O$6*H41^2</f>
        <v>0.01150419797101885</v>
      </c>
      <c r="I165" s="31">
        <f>0.5*$M$6*(I125^2+I126^2)+0.5*$O$6*I41^2</f>
        <v>0.02103295519261638</v>
      </c>
      <c r="J165" s="31">
        <f>0.5*$M$6*(J125^2+J126^2)+0.5*$O$6*J41^2</f>
        <v>0.031911134952312764</v>
      </c>
      <c r="K165" s="31">
        <f>0.5*$M$6*(K125^2+K126^2)+0.5*$O$6*K41^2</f>
        <v>0.04220094832266793</v>
      </c>
      <c r="L165" s="31">
        <f>0.5*$M$6*(L125^2+L126^2)+0.5*$O$6*L41^2</f>
        <v>0.04890632473972216</v>
      </c>
      <c r="M165" s="31">
        <f>0.5*$M$6*(M125^2+M126^2)+0.5*$O$6*M41^2</f>
        <v>0.048614824895420065</v>
      </c>
      <c r="N165" s="2">
        <f>0.5*$M$6*(N125^2+N126^2)+0.5*$O$6*N41^2</f>
        <v>0.03963132597986317</v>
      </c>
      <c r="O165" s="2">
        <f>0.5*$M$6*(O125^2+O126^2)+0.5*$O$6*O41^2</f>
        <v>0.024374981007586477</v>
      </c>
      <c r="P165" s="2">
        <f>0.5*$M$6*(P125^2+P126^2)+0.5*$O$6*P41^2</f>
        <v>0.00915640388514604</v>
      </c>
      <c r="Q165" s="2">
        <f>0.5*$M$6*(Q125^2+Q126^2)+0.5*$O$6*Q41^2</f>
        <v>0.0006453003111306206</v>
      </c>
      <c r="R165" s="2">
        <f>0.5*$M$6*(R125^2+R126^2)+0.5*$O$6*R41^2</f>
        <v>0.00211936874863756</v>
      </c>
      <c r="S165" s="2">
        <f>0.5*$M$6*(S125^2+S126^2)+0.5*$O$6*S41^2</f>
        <v>0.012267994920752269</v>
      </c>
      <c r="T165" s="2">
        <f>0.5*$M$6*(T125^2+T126^2)+0.5*$O$6*T41^2</f>
        <v>0.02644129941631701</v>
      </c>
      <c r="U165" s="2">
        <f>0.5*$M$6*(U125^2+U126^2)+0.5*$O$6*U41^2</f>
        <v>0.039052750656597766</v>
      </c>
      <c r="V165" s="2">
        <f>0.5*$M$6*(V125^2+V126^2)+0.5*$O$6*V41^2</f>
        <v>0.04598118205525664</v>
      </c>
      <c r="W165" s="2">
        <f>0.5*$M$6*(W125^2+W126^2)+0.5*$O$6*W41^2</f>
        <v>0.04588630051715426</v>
      </c>
      <c r="X165" s="2">
        <f>0.5*$M$6*(X125^2+X126^2)+0.5*$O$6*X41^2</f>
        <v>0.03992153350423092</v>
      </c>
      <c r="Y165" s="2">
        <f>0.5*$M$6*(Y125^2+Y126^2)+0.5*$O$6*Y41^2</f>
        <v>0.030479636945240213</v>
      </c>
      <c r="Z165" s="2">
        <f>0.5*$M$6*(Z125^2+Z126^2)+0.5*$O$6*Z41^2</f>
        <v>0.020052044568929863</v>
      </c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</row>
    <row r="166" spans="1:256" ht="12.75">
      <c r="A166" t="s">
        <v>151</v>
      </c>
      <c r="B166" s="31">
        <f>$M$6*B127</f>
        <v>-0.06144902718363537</v>
      </c>
      <c r="C166" s="31">
        <f>$M$6*C127</f>
        <v>-0.06797362599947801</v>
      </c>
      <c r="D166" s="31">
        <f>$M$6*D127</f>
        <v>-0.07097721286903953</v>
      </c>
      <c r="E166" s="31">
        <f>$M$6*E127</f>
        <v>-0.0716765043989843</v>
      </c>
      <c r="F166" s="31">
        <f>$M$6*F127</f>
        <v>-0.07097703251516176</v>
      </c>
      <c r="G166" s="31">
        <f>$M$6*G127</f>
        <v>-0.06933857272722316</v>
      </c>
      <c r="H166" s="31">
        <f>$M$6*H127</f>
        <v>-0.06655330498039506</v>
      </c>
      <c r="I166" s="31">
        <f>$M$6*I127</f>
        <v>-0.06147374640249889</v>
      </c>
      <c r="J166" s="31">
        <f>$M$6*J127</f>
        <v>-0.05185497296618559</v>
      </c>
      <c r="K166" s="31">
        <f>$M$6*K127</f>
        <v>-0.03476832198505996</v>
      </c>
      <c r="L166" s="31">
        <f>$M$6*L127</f>
        <v>-0.008266562494297514</v>
      </c>
      <c r="M166" s="31">
        <f>$M$6*M127</f>
        <v>0.02584946562223227</v>
      </c>
      <c r="N166" s="2">
        <f>$M$6*N127</f>
        <v>0.060730297935132085</v>
      </c>
      <c r="O166" s="2">
        <f>$M$6*O127</f>
        <v>0.0878409463923631</v>
      </c>
      <c r="P166" s="2">
        <f>$M$6*P127</f>
        <v>0.10278113966821756</v>
      </c>
      <c r="Q166" s="2">
        <f>$M$6*Q127</f>
        <v>0.10683939355179345</v>
      </c>
      <c r="R166" s="2">
        <f>$M$6*R127</f>
        <v>0.10311830469201602</v>
      </c>
      <c r="S166" s="2">
        <f>$M$6*S127</f>
        <v>0.09276740277968794</v>
      </c>
      <c r="T166" s="2">
        <f>$M$6*T127</f>
        <v>0.07505177717595829</v>
      </c>
      <c r="U166" s="2">
        <f>$M$6*U127</f>
        <v>0.050063899047216746</v>
      </c>
      <c r="V166" s="2">
        <f>$M$6*V127</f>
        <v>0.020712922504265086</v>
      </c>
      <c r="W166" s="2">
        <f>$M$6*W127</f>
        <v>-0.008141792896563861</v>
      </c>
      <c r="X166" s="2">
        <f>$M$6*X127</f>
        <v>-0.0323162433270782</v>
      </c>
      <c r="Y166" s="2">
        <f>$M$6*Y127</f>
        <v>-0.049988628623280545</v>
      </c>
      <c r="Z166" s="2">
        <f>$M$6*Z127</f>
        <v>-0.06144902718363535</v>
      </c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24"/>
    </row>
    <row r="167" spans="1:256" ht="12.75">
      <c r="A167" t="s">
        <v>152</v>
      </c>
      <c r="B167" s="31">
        <f>$M$6*B128</f>
        <v>-0.011193792081196717</v>
      </c>
      <c r="C167" s="31">
        <f>$M$6*C128</f>
        <v>-0.001414735379953653</v>
      </c>
      <c r="D167" s="31">
        <f>$M$6*D128</f>
        <v>0.005718970039321232</v>
      </c>
      <c r="E167" s="31">
        <f>$M$6*E128</f>
        <v>0.009252290813611003</v>
      </c>
      <c r="F167" s="31">
        <f>$M$6*F128</f>
        <v>0.008911955729980388</v>
      </c>
      <c r="G167" s="31">
        <f>$M$6*G128</f>
        <v>0.004875671283292364</v>
      </c>
      <c r="H167" s="31">
        <f>$M$6*H128</f>
        <v>-0.0024175549036102883</v>
      </c>
      <c r="I167" s="31">
        <f>$M$6*I128</f>
        <v>-0.012249197609076612</v>
      </c>
      <c r="J167" s="31">
        <f>$M$6*J128</f>
        <v>-0.02321833454911469</v>
      </c>
      <c r="K167" s="31">
        <f>$M$6*K128</f>
        <v>-0.03248552975856799</v>
      </c>
      <c r="L167" s="31">
        <f>$M$6*L128</f>
        <v>-0.03535126775167852</v>
      </c>
      <c r="M167" s="31">
        <f>$M$6*M128</f>
        <v>-0.026723661770886715</v>
      </c>
      <c r="N167" s="2">
        <f>$M$6*N128</f>
        <v>-0.0052103789109655746</v>
      </c>
      <c r="O167" s="2">
        <f>$M$6*O128</f>
        <v>0.023412991232661703</v>
      </c>
      <c r="P167" s="2">
        <f>$M$6*P128</f>
        <v>0.04840318590981316</v>
      </c>
      <c r="Q167" s="2">
        <f>$M$6*Q128</f>
        <v>0.06060585126597176</v>
      </c>
      <c r="R167" s="2">
        <f>$M$6*R128</f>
        <v>0.05674402252628411</v>
      </c>
      <c r="S167" s="2">
        <f>$M$6*S128</f>
        <v>0.03926912699525676</v>
      </c>
      <c r="T167" s="2">
        <f>$M$6*T128</f>
        <v>0.014469665615930109</v>
      </c>
      <c r="U167" s="2">
        <f>$M$6*U128</f>
        <v>-0.009721555195421472</v>
      </c>
      <c r="V167" s="2">
        <f>$M$6*V128</f>
        <v>-0.026560544296555952</v>
      </c>
      <c r="W167" s="2">
        <f>$M$6*W128</f>
        <v>-0.033044081399485246</v>
      </c>
      <c r="X167" s="2">
        <f>$M$6*X128</f>
        <v>-0.03029600701530068</v>
      </c>
      <c r="Y167" s="2">
        <f>$M$6*Y128</f>
        <v>-0.021777090790309196</v>
      </c>
      <c r="Z167" s="2">
        <f>$M$6*Z128</f>
        <v>-0.01119379208119671</v>
      </c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24"/>
    </row>
    <row r="168" spans="1:256" ht="12.75">
      <c r="A168" t="s">
        <v>153</v>
      </c>
      <c r="B168" s="31">
        <f>$O$6*B45</f>
        <v>0.008274861600975522</v>
      </c>
      <c r="C168" s="31">
        <f>$O$6*$B$45</f>
        <v>0.008274861600975522</v>
      </c>
      <c r="D168" s="31">
        <f>$O$6*$B$45</f>
        <v>0.008274861600975522</v>
      </c>
      <c r="E168" s="31">
        <f>$O$6*$B$45</f>
        <v>0.008274861600975522</v>
      </c>
      <c r="F168" s="31">
        <f>$O$6*$B$45</f>
        <v>0.008274861600975522</v>
      </c>
      <c r="G168" s="31">
        <f>$O$6*$B$45</f>
        <v>0.008274861600975522</v>
      </c>
      <c r="H168" s="31">
        <f>$O$6*$B$45</f>
        <v>0.008274861600975522</v>
      </c>
      <c r="I168" s="31">
        <f>$O$6*$B$45</f>
        <v>0.008274861600975522</v>
      </c>
      <c r="J168" s="31">
        <f>$O$6*$B$45</f>
        <v>0.008274861600975522</v>
      </c>
      <c r="K168" s="31">
        <f>$O$6*$B$45</f>
        <v>0.008274861600975522</v>
      </c>
      <c r="L168" s="31">
        <f>$O$6*$B$45</f>
        <v>0.008274861600975522</v>
      </c>
      <c r="M168" s="31">
        <f>$O$6*$B$45</f>
        <v>0.008274861600975522</v>
      </c>
      <c r="N168" s="2">
        <f>$O$6*$B$45</f>
        <v>0.008274861600975522</v>
      </c>
      <c r="O168" s="2">
        <f>$O$6*$B$45</f>
        <v>0.008274861600975522</v>
      </c>
      <c r="P168" s="2">
        <f>$O$6*$B$45</f>
        <v>0.008274861600975522</v>
      </c>
      <c r="Q168" s="2">
        <f>$O$6*$B$45</f>
        <v>0.008274861600975522</v>
      </c>
      <c r="R168" s="2">
        <f>$O$6*$B$45</f>
        <v>0.008274861600975522</v>
      </c>
      <c r="S168" s="2">
        <f>$O$6*$B$45</f>
        <v>0.008274861600975522</v>
      </c>
      <c r="T168" s="2">
        <f>$O$6*$B$45</f>
        <v>0.008274861600975522</v>
      </c>
      <c r="U168" s="2">
        <f>$O$6*$B$45</f>
        <v>0.008274861600975522</v>
      </c>
      <c r="V168" s="2">
        <f>$O$6*$B$45</f>
        <v>0.008274861600975522</v>
      </c>
      <c r="W168" s="2">
        <f>$O$6*$B$45</f>
        <v>0.008274861600975522</v>
      </c>
      <c r="X168" s="2">
        <f>$O$6*$B$45</f>
        <v>0.008274861600975522</v>
      </c>
      <c r="Y168" s="2">
        <f>$O$6*$B$45</f>
        <v>0.008274861600975522</v>
      </c>
      <c r="Z168" s="2">
        <f>$O$6*$B$45</f>
        <v>0.008274861600975522</v>
      </c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  <c r="IV168" s="24"/>
    </row>
    <row r="169" spans="1:256" ht="12.75">
      <c r="A169" t="s">
        <v>154</v>
      </c>
      <c r="B169" s="31">
        <f>B166*B125+B167*B126+B168*B41</f>
        <v>-0.038931153450831556</v>
      </c>
      <c r="C169" s="31">
        <f>C166*C125+C167*C126+C168*C41</f>
        <v>-0.03136895345545248</v>
      </c>
      <c r="D169" s="31">
        <f>D166*D125+D167*D126+D168*D41</f>
        <v>-0.019703931390284264</v>
      </c>
      <c r="E169" s="31">
        <f>E166*E125+E167*E126+E168*E41</f>
        <v>-0.006058841092451282</v>
      </c>
      <c r="F169" s="31">
        <f>F166*F125+F167*F126+F168*F41</f>
        <v>0.007844307666713358</v>
      </c>
      <c r="G169" s="31">
        <f>G166*G125+G167*G126+G168*G41</f>
        <v>0.02078725742183985</v>
      </c>
      <c r="H169" s="31">
        <f>H166*H125+H167*H126+H168*H41</f>
        <v>0.03187550208864146</v>
      </c>
      <c r="I169" s="31">
        <f>I166*I125+I167*I126+I168*I41</f>
        <v>0.039927029802995694</v>
      </c>
      <c r="J169" s="31">
        <f>J166*J125+J167*J126+J168*J41</f>
        <v>0.042580568778534535</v>
      </c>
      <c r="K169" s="31">
        <f>K166*K125+K167*K126+K168*K41</f>
        <v>0.03586584603852967</v>
      </c>
      <c r="L169" s="31">
        <f>L166*L125+L167*L126+L168*L41</f>
        <v>0.015925380472195112</v>
      </c>
      <c r="M169" s="31">
        <f>M166*M125+M167*M126+M168*M41</f>
        <v>-0.015784410898289615</v>
      </c>
      <c r="N169" s="31">
        <f>N166*N125+N167*N126+N168*N41</f>
        <v>-0.04748045411322502</v>
      </c>
      <c r="O169" s="31">
        <f>O166*O125+O167*O126+O168*O41</f>
        <v>-0.06140183108966591</v>
      </c>
      <c r="P169" s="31">
        <f>P166*P125+P167*P126+P168*P41</f>
        <v>-0.04790937204375067</v>
      </c>
      <c r="Q169" s="31">
        <f>Q166*Q125+Q167*Q126+Q168*Q41</f>
        <v>-0.013785155765310312</v>
      </c>
      <c r="R169" s="31">
        <f>R166*R125+R167*R126+R168*R41</f>
        <v>0.023928120863064742</v>
      </c>
      <c r="S169" s="31">
        <f>S166*S125+S167*S126+S168*S41</f>
        <v>0.04901790823887121</v>
      </c>
      <c r="T169" s="31">
        <f>T166*T125+T167*T126+T168*T41</f>
        <v>0.05302009233097885</v>
      </c>
      <c r="U169" s="31">
        <f>U166*U125+U167*U126+U168*U41</f>
        <v>0.037344852327324714</v>
      </c>
      <c r="V169" s="31">
        <f>V166*V125+V167*V126+V168*V41</f>
        <v>0.01113996630531926</v>
      </c>
      <c r="W169" s="31">
        <f>W166*W125+W167*W126+W168*W41</f>
        <v>-0.014527024001759375</v>
      </c>
      <c r="X169" s="31">
        <f>X166*X125+X167*X126+X168*X41</f>
        <v>-0.0322891319648223</v>
      </c>
      <c r="Y169" s="31">
        <f>Y166*Y125+Y167*Y126+Y168*Y41</f>
        <v>-0.04001657306916679</v>
      </c>
      <c r="Z169" s="31">
        <f>Z166*Z125+Z167*Z126+Z168*Z41</f>
        <v>-0.03893115345083154</v>
      </c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8"/>
      <c r="IS169" s="28"/>
      <c r="IT169" s="28"/>
      <c r="IU169" s="28"/>
      <c r="IV169" s="28"/>
    </row>
    <row r="170" spans="1:256" ht="12.75">
      <c r="A170" t="s">
        <v>155</v>
      </c>
      <c r="B170" s="31">
        <f>B126*$M$6*$I$10</f>
        <v>-0.021006099853259786</v>
      </c>
      <c r="C170" s="31">
        <f>C126*$M$6*$I$10</f>
        <v>-0.03678944311705591</v>
      </c>
      <c r="D170" s="31">
        <f>D126*$M$6*$I$10</f>
        <v>-0.030562905947784786</v>
      </c>
      <c r="E170" s="31">
        <f>E126*$M$6*$I$10</f>
        <v>-0.0105157504931594</v>
      </c>
      <c r="F170" s="31">
        <f>F126*$M$6*$I$10</f>
        <v>0.013632554231463926</v>
      </c>
      <c r="G170" s="31">
        <f>G126*$M$6*$I$10</f>
        <v>0.0320897406304243</v>
      </c>
      <c r="H170" s="31">
        <f>H126*$M$6*$I$10</f>
        <v>0.035881654840018984</v>
      </c>
      <c r="I170" s="31">
        <f>I126*$M$6*$I$10</f>
        <v>0.01748092032200627</v>
      </c>
      <c r="J170" s="31">
        <f>J126*$M$6*$I$10</f>
        <v>-0.028051744761410646</v>
      </c>
      <c r="K170" s="31">
        <f>K126*$M$6*$I$10</f>
        <v>-0.1003827491787852</v>
      </c>
      <c r="L170" s="31">
        <f>L126*$M$6*$I$10</f>
        <v>-0.1894563156852342</v>
      </c>
      <c r="M170" s="31">
        <f>M126*$M$6*$I$10</f>
        <v>-0.2720197726924546</v>
      </c>
      <c r="N170" s="31">
        <f>N126*$M$6*$I$10</f>
        <v>-0.31546292473506454</v>
      </c>
      <c r="O170" s="31">
        <f>O126*$M$6*$I$10</f>
        <v>-0.2925353398351772</v>
      </c>
      <c r="P170" s="31">
        <f>P126*$M$6*$I$10</f>
        <v>-0.1983692831422802</v>
      </c>
      <c r="Q170" s="31">
        <f>Q126*$M$6*$I$10</f>
        <v>-0.05504542827711068</v>
      </c>
      <c r="R170" s="31">
        <f>R126*$M$6*$I$10</f>
        <v>0.09901254695279321</v>
      </c>
      <c r="S170" s="31">
        <f>S126*$M$6*$I$10</f>
        <v>0.2246573293741193</v>
      </c>
      <c r="T170" s="31">
        <f>T126*$M$6*$I$10</f>
        <v>0.2943978847206923</v>
      </c>
      <c r="U170" s="31">
        <f>U126*$M$6*$I$10</f>
        <v>0.2995355540117276</v>
      </c>
      <c r="V170" s="31">
        <f>V126*$M$6*$I$10</f>
        <v>0.2508727149871593</v>
      </c>
      <c r="W170" s="31">
        <f>W126*$M$6*$I$10</f>
        <v>0.1720988042953632</v>
      </c>
      <c r="X170" s="31">
        <f>X126*$M$6*$I$10</f>
        <v>0.0891118402833758</v>
      </c>
      <c r="Y170" s="31">
        <f>Y126*$M$6*$I$10</f>
        <v>0.02142621306962977</v>
      </c>
      <c r="Z170" s="31">
        <f>Z126*$M$6*$I$10</f>
        <v>-0.02100609985325978</v>
      </c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 s="28"/>
      <c r="IR170" s="28"/>
      <c r="IS170" s="28"/>
      <c r="IT170" s="28"/>
      <c r="IU170" s="28"/>
      <c r="IV170" s="28"/>
    </row>
    <row r="171" spans="2:13" ht="12.7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</row>
    <row r="172" spans="2:13" ht="12.7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1:256" ht="12.75">
      <c r="A173" t="s">
        <v>156</v>
      </c>
      <c r="B173" s="31">
        <f>0.5*$M$7*(B133^2+B134^2)+0.5*$O$7*B82^2</f>
        <v>0.045851424885788576</v>
      </c>
      <c r="C173" s="31">
        <f>0.5*$M$7*(C133^2+C134^2)+0.5*$O$7*C82^2</f>
        <v>0.027446639962037</v>
      </c>
      <c r="D173" s="31">
        <f>0.5*$M$7*(D133^2+D134^2)+0.5*$O$7*D82^2</f>
        <v>0.011043823545800451</v>
      </c>
      <c r="E173" s="31">
        <f>0.5*$M$7*(E133^2+E134^2)+0.5*$O$7*E82^2</f>
        <v>0.0010835064066988514</v>
      </c>
      <c r="F173" s="31">
        <f>0.5*$M$7*(F133^2+F134^2)+0.5*$O$7*F82^2</f>
        <v>0.0018435943170629961</v>
      </c>
      <c r="G173" s="31">
        <f>0.5*$M$7*(G133^2+G134^2)+0.5*$O$7*G82^2</f>
        <v>0.012721415959964108</v>
      </c>
      <c r="H173" s="31">
        <f>0.5*$M$7*(H133^2+H134^2)+0.5*$O$7*H82^2</f>
        <v>0.029108231508444667</v>
      </c>
      <c r="I173" s="31">
        <f>0.5*$M$7*(I133^2+I134^2)+0.5*$O$7*I82^2</f>
        <v>0.047630444589773634</v>
      </c>
      <c r="J173" s="31">
        <f>0.5*$M$7*(J133^2+J134^2)+0.5*$O$7*J82^2</f>
        <v>0.07074344206066248</v>
      </c>
      <c r="K173" s="31">
        <f>0.5*$M$7*(K133^2+K134^2)+0.5*$O$7*K82^2</f>
        <v>0.104940714723088</v>
      </c>
      <c r="L173" s="31">
        <f>0.5*$M$7*(L133^2+L134^2)+0.5*$O$7*L82^2</f>
        <v>0.15002028693816882</v>
      </c>
      <c r="M173" s="31">
        <f>0.5*$M$7*(M133^2+M134^2)+0.5*$O$7*M82^2</f>
        <v>0.1871742710935088</v>
      </c>
      <c r="N173" s="31">
        <f>0.5*$M$7*(N133^2+N134^2)+0.5*$O$7*N82^2</f>
        <v>0.18519969600521485</v>
      </c>
      <c r="O173" s="31">
        <f>0.5*$M$7*(O133^2+O134^2)+0.5*$O$7*O82^2</f>
        <v>0.1312701430442837</v>
      </c>
      <c r="P173" s="31">
        <f>0.5*$M$7*(P133^2+P134^2)+0.5*$O$7*P82^2</f>
        <v>0.053886198866818696</v>
      </c>
      <c r="Q173" s="31">
        <f>0.5*$M$7*(Q133^2+Q134^2)+0.5*$O$7*Q82^2</f>
        <v>0.00395015094309003</v>
      </c>
      <c r="R173" s="31">
        <f>0.5*$M$7*(R133^2+R134^2)+0.5*$O$7*R82^2</f>
        <v>0.012887161170122965</v>
      </c>
      <c r="S173" s="31">
        <f>0.5*$M$7*(S133^2+S134^2)+0.5*$O$7*S82^2</f>
        <v>0.07081786487964427</v>
      </c>
      <c r="T173" s="31">
        <f>0.5*$M$7*(T133^2+T134^2)+0.5*$O$7*T82^2</f>
        <v>0.13823512341518812</v>
      </c>
      <c r="U173" s="31">
        <f>0.5*$M$7*(U133^2+U134^2)+0.5*$O$7*U82^2</f>
        <v>0.17600553928817458</v>
      </c>
      <c r="V173" s="31">
        <f>0.5*$M$7*(V133^2+V134^2)+0.5*$O$7*V82^2</f>
        <v>0.17052232264305486</v>
      </c>
      <c r="W173" s="31">
        <f>0.5*$M$7*(W133^2+W134^2)+0.5*$O$7*W82^2</f>
        <v>0.13627321345749777</v>
      </c>
      <c r="X173" s="31">
        <f>0.5*$M$7*(X133^2+X134^2)+0.5*$O$7*X82^2</f>
        <v>0.09725400303989255</v>
      </c>
      <c r="Y173" s="31">
        <f>0.5*$M$7*(Y133^2+Y134^2)+0.5*$O$7*Y82^2</f>
        <v>0.06728019574541105</v>
      </c>
      <c r="Z173" s="31">
        <f>0.5*$M$7*(Z133^2+Z134^2)+0.5*$O$7*Z82^2</f>
        <v>0.04585142488578857</v>
      </c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  <c r="IQ173" s="28"/>
      <c r="IR173" s="28"/>
      <c r="IS173" s="28"/>
      <c r="IT173" s="28"/>
      <c r="IU173" s="28"/>
      <c r="IV173" s="28"/>
    </row>
    <row r="174" spans="1:256" ht="12.75">
      <c r="A174" t="s">
        <v>157</v>
      </c>
      <c r="B174" s="31">
        <f>$M$7*B135</f>
        <v>0.13170967090684635</v>
      </c>
      <c r="C174" s="31">
        <f>$M$7*C135</f>
        <v>0.22156057509322596</v>
      </c>
      <c r="D174" s="31">
        <f>$M$7*D135</f>
        <v>0.26369042671308446</v>
      </c>
      <c r="E174" s="31">
        <f>$M$7*E135</f>
        <v>0.27590130759932247</v>
      </c>
      <c r="F174" s="31">
        <f>$M$7*F135</f>
        <v>0.27265889622763767</v>
      </c>
      <c r="G174" s="31">
        <f>$M$7*G135</f>
        <v>0.2551350002364625</v>
      </c>
      <c r="H174" s="31">
        <f>$M$7*H135</f>
        <v>0.21099948837779486</v>
      </c>
      <c r="I174" s="31">
        <f>$M$7*I135</f>
        <v>0.12237658431403395</v>
      </c>
      <c r="J174" s="31">
        <f>$M$7*J135</f>
        <v>-0.02020683574056903</v>
      </c>
      <c r="K174" s="31">
        <f>$M$7*K135</f>
        <v>-0.1997247522068663</v>
      </c>
      <c r="L174" s="31">
        <f>$M$7*L135</f>
        <v>-0.3586303682853693</v>
      </c>
      <c r="M174" s="31">
        <f>$M$7*M135</f>
        <v>-0.41109003381416614</v>
      </c>
      <c r="N174" s="31">
        <f>$M$7*N135</f>
        <v>-0.299429984831398</v>
      </c>
      <c r="O174" s="31">
        <f>$M$7*O135</f>
        <v>-0.058446195867647155</v>
      </c>
      <c r="P174" s="31">
        <f>$M$7*P135</f>
        <v>0.1914585582372919</v>
      </c>
      <c r="Q174" s="31">
        <f>$M$7*Q135</f>
        <v>0.32708669183094335</v>
      </c>
      <c r="R174" s="31">
        <f>$M$7*R135</f>
        <v>0.29388704199088006</v>
      </c>
      <c r="S174" s="31">
        <f>$M$7*S135</f>
        <v>0.11793484093573842</v>
      </c>
      <c r="T174" s="31">
        <f>$M$7*T135</f>
        <v>-0.1178217040698292</v>
      </c>
      <c r="U174" s="31">
        <f>$M$7*U135</f>
        <v>-0.31113328486974634</v>
      </c>
      <c r="V174" s="31">
        <f>$M$7*V135</f>
        <v>-0.38649691605522685</v>
      </c>
      <c r="W174" s="31">
        <f>$M$7*W135</f>
        <v>-0.3291386977222274</v>
      </c>
      <c r="X174" s="31">
        <f>$M$7*X135</f>
        <v>-0.1818196339652642</v>
      </c>
      <c r="Y174" s="31">
        <f>$M$7*Y135</f>
        <v>-0.010460675034964118</v>
      </c>
      <c r="Z174" s="31">
        <f>$M$7*Z135</f>
        <v>0.13170967090684632</v>
      </c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 s="28"/>
      <c r="IL174" s="28"/>
      <c r="IM174" s="28"/>
      <c r="IN174" s="28"/>
      <c r="IO174" s="28"/>
      <c r="IP174" s="28"/>
      <c r="IQ174" s="28"/>
      <c r="IR174" s="28"/>
      <c r="IS174" s="28"/>
      <c r="IT174" s="28"/>
      <c r="IU174" s="28"/>
      <c r="IV174" s="28"/>
    </row>
    <row r="175" spans="1:256" ht="12.75">
      <c r="A175" t="s">
        <v>158</v>
      </c>
      <c r="B175" s="31">
        <f>$M$7*B136</f>
        <v>0.3078595670902948</v>
      </c>
      <c r="C175" s="31">
        <f>$M$7*C136</f>
        <v>0.09806691747685271</v>
      </c>
      <c r="D175" s="31">
        <f>$M$7*D136</f>
        <v>-0.07705969662731063</v>
      </c>
      <c r="E175" s="31">
        <f>$M$7*E136</f>
        <v>-0.17024759813613077</v>
      </c>
      <c r="F175" s="31">
        <f>$M$7*F136</f>
        <v>-0.161818479489247</v>
      </c>
      <c r="G175" s="31">
        <f>$M$7*G136</f>
        <v>-0.05681964216760491</v>
      </c>
      <c r="H175" s="31">
        <f>$M$7*H136</f>
        <v>0.1203820885092371</v>
      </c>
      <c r="I175" s="31">
        <f>$M$7*I136</f>
        <v>0.32833700621579387</v>
      </c>
      <c r="J175" s="31">
        <f>$M$7*J136</f>
        <v>0.5076864807268445</v>
      </c>
      <c r="K175" s="31">
        <f>$M$7*K136</f>
        <v>0.5851191330231913</v>
      </c>
      <c r="L175" s="31">
        <f>$M$7*L136</f>
        <v>0.49570589577888746</v>
      </c>
      <c r="M175" s="31">
        <f>$M$7*M136</f>
        <v>0.22758613168705086</v>
      </c>
      <c r="N175" s="31">
        <f>$M$7*N136</f>
        <v>-0.14435153102355502</v>
      </c>
      <c r="O175" s="31">
        <f>$M$7*O136</f>
        <v>-0.4913533190031513</v>
      </c>
      <c r="P175" s="31">
        <f>$M$7*P136</f>
        <v>-0.7170466647454259</v>
      </c>
      <c r="Q175" s="31">
        <f>$M$7*Q136</f>
        <v>-0.8012411737740952</v>
      </c>
      <c r="R175" s="31">
        <f>$M$7*R136</f>
        <v>-0.7644099699250015</v>
      </c>
      <c r="S175" s="31">
        <f>$M$7*S136</f>
        <v>-0.6205504265860972</v>
      </c>
      <c r="T175" s="31">
        <f>$M$7*T136</f>
        <v>-0.37597809020704276</v>
      </c>
      <c r="U175" s="31">
        <f>$M$7*U136</f>
        <v>-0.061058130728236085</v>
      </c>
      <c r="V175" s="31">
        <f>$M$7*V136</f>
        <v>0.2528341426757166</v>
      </c>
      <c r="W175" s="31">
        <f>$M$7*W136</f>
        <v>0.47807947478692986</v>
      </c>
      <c r="X175" s="31">
        <f>$M$7*X136</f>
        <v>0.5561953052536417</v>
      </c>
      <c r="Y175" s="31">
        <f>$M$7*Y136</f>
        <v>0.4840825791884511</v>
      </c>
      <c r="Z175" s="31">
        <f>$M$7*Z136</f>
        <v>0.30785956709029466</v>
      </c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  <c r="HZ175" s="28"/>
      <c r="IA175" s="28"/>
      <c r="IB175" s="28"/>
      <c r="IC175" s="28"/>
      <c r="ID175" s="28"/>
      <c r="IE175" s="28"/>
      <c r="IF175" s="28"/>
      <c r="IG175" s="28"/>
      <c r="IH175" s="28"/>
      <c r="II175" s="28"/>
      <c r="IJ175" s="28"/>
      <c r="IK175" s="28"/>
      <c r="IL175" s="28"/>
      <c r="IM175" s="28"/>
      <c r="IN175" s="28"/>
      <c r="IO175" s="28"/>
      <c r="IP175" s="28"/>
      <c r="IQ175" s="28"/>
      <c r="IR175" s="28"/>
      <c r="IS175" s="28"/>
      <c r="IT175" s="28"/>
      <c r="IU175" s="28"/>
      <c r="IV175" s="28"/>
    </row>
    <row r="176" spans="1:256" ht="12" customHeight="1">
      <c r="A176" t="s">
        <v>159</v>
      </c>
      <c r="B176" s="31">
        <f>$O$7*B89</f>
        <v>0.21031211356819818</v>
      </c>
      <c r="C176" s="31">
        <f>$O$7*C89</f>
        <v>0.23304129743389299</v>
      </c>
      <c r="D176" s="31">
        <f>$O$7*D89</f>
        <v>0.24524372610159545</v>
      </c>
      <c r="E176" s="31">
        <f>$O$7*E89</f>
        <v>0.24906173605014648</v>
      </c>
      <c r="F176" s="31">
        <f>$O$7*F89</f>
        <v>0.24651989200481428</v>
      </c>
      <c r="G176" s="31">
        <f>$O$7*G89</f>
        <v>0.23933337855897366</v>
      </c>
      <c r="H176" s="31">
        <f>$O$7*H89</f>
        <v>0.22801154885711883</v>
      </c>
      <c r="I176" s="31">
        <f>$O$7*I89</f>
        <v>0.21058783476441909</v>
      </c>
      <c r="J176" s="31">
        <f>$O$7*J89</f>
        <v>0.181495050706363</v>
      </c>
      <c r="K176" s="31">
        <f>$O$7*K89</f>
        <v>0.13168384553936305</v>
      </c>
      <c r="L176" s="31">
        <f>$O$7*L89</f>
        <v>0.05196307565045283</v>
      </c>
      <c r="M176" s="31">
        <f>$O$7*M89</f>
        <v>-0.05931292542617894</v>
      </c>
      <c r="N176" s="31">
        <f>$O$7*N89</f>
        <v>-0.18842676795109292</v>
      </c>
      <c r="O176" s="31">
        <f>$O$7*O89</f>
        <v>-0.30802096625654857</v>
      </c>
      <c r="P176" s="31">
        <f>$O$7*P89</f>
        <v>-0.3909283676422156</v>
      </c>
      <c r="Q176" s="31">
        <f>$O$7*Q89</f>
        <v>-0.4233046598210782</v>
      </c>
      <c r="R176" s="31">
        <f>$O$7*R89</f>
        <v>-0.40559009004576296</v>
      </c>
      <c r="S176" s="31">
        <f>$O$7*S89</f>
        <v>-0.34596306921368447</v>
      </c>
      <c r="T176" s="31">
        <f>$O$7*T89</f>
        <v>-0.2559995933022612</v>
      </c>
      <c r="U176" s="31">
        <f>$O$7*U89</f>
        <v>-0.15009128841850328</v>
      </c>
      <c r="V176" s="31">
        <f>$O$7*V89</f>
        <v>-0.04413090707911646</v>
      </c>
      <c r="W176" s="31">
        <f>$O$7*W89</f>
        <v>0.048649020076072885</v>
      </c>
      <c r="X176" s="31">
        <f>$O$7*X89</f>
        <v>0.12153030225802428</v>
      </c>
      <c r="Y176" s="31">
        <f>$O$7*Y89</f>
        <v>0.17433581358700753</v>
      </c>
      <c r="Z176" s="31">
        <f>$O$7*Z89</f>
        <v>0.21031211356819815</v>
      </c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  <c r="HZ176" s="28"/>
      <c r="IA176" s="28"/>
      <c r="IB176" s="28"/>
      <c r="IC176" s="28"/>
      <c r="ID176" s="28"/>
      <c r="IE176" s="28"/>
      <c r="IF176" s="28"/>
      <c r="IG176" s="28"/>
      <c r="IH176" s="28"/>
      <c r="II176" s="28"/>
      <c r="IJ176" s="28"/>
      <c r="IK176" s="28"/>
      <c r="IL176" s="28"/>
      <c r="IM176" s="28"/>
      <c r="IN176" s="28"/>
      <c r="IO176" s="28"/>
      <c r="IP176" s="28"/>
      <c r="IQ176" s="28"/>
      <c r="IR176" s="28"/>
      <c r="IS176" s="28"/>
      <c r="IT176" s="28"/>
      <c r="IU176" s="28"/>
      <c r="IV176" s="28"/>
    </row>
    <row r="177" spans="1:256" ht="12.75">
      <c r="A177" t="s">
        <v>160</v>
      </c>
      <c r="B177" s="31">
        <f>B174*B133+B175*B134+B176*B82</f>
        <v>-0.07323693941562597</v>
      </c>
      <c r="C177" s="31">
        <f>C174*C133+C175*C134+C176*C82</f>
        <v>-0.06804847497619954</v>
      </c>
      <c r="D177" s="31">
        <f>D174*D133+D175*D134+D176*D82</f>
        <v>-0.05399099854045922</v>
      </c>
      <c r="E177" s="31">
        <f>E174*E133+E175*E134+E176*E82</f>
        <v>-0.019029537643326714</v>
      </c>
      <c r="F177" s="31">
        <f>F174*F133+F175*F134+F176*F82</f>
        <v>0.02438065173395588</v>
      </c>
      <c r="G177" s="31">
        <f>G174*G133+G175*G134+G176*G82</f>
        <v>0.05540188226963998</v>
      </c>
      <c r="H177" s="31">
        <f>H174*H133+H175*H134+H176*H82</f>
        <v>0.06728751077940884</v>
      </c>
      <c r="I177" s="31">
        <f>I174*I133+I175*I134+I176*I82</f>
        <v>0.07585317434153331</v>
      </c>
      <c r="J177" s="31">
        <f>J174*J133+J175*J134+J176*J82</f>
        <v>0.10559394653919765</v>
      </c>
      <c r="K177" s="31">
        <f>K174*K133+K175*K134+K176*K82</f>
        <v>0.15649901491249252</v>
      </c>
      <c r="L177" s="31">
        <f>L174*L133+L175*L134+L176*L82</f>
        <v>0.17564538739879443</v>
      </c>
      <c r="M177" s="31">
        <f>M174*M133+M175*M134+M176*M82</f>
        <v>0.08600261856275011</v>
      </c>
      <c r="N177" s="31">
        <f>N174*N133+N175*N134+N176*N82</f>
        <v>-0.11116016477358079</v>
      </c>
      <c r="O177" s="31">
        <f>O174*O133+O175*O134+O176*O82</f>
        <v>-0.2812320993908337</v>
      </c>
      <c r="P177" s="31">
        <f>P174*P133+P175*P134+P176*P82</f>
        <v>-0.27436122458332474</v>
      </c>
      <c r="Q177" s="31">
        <f>Q174*Q133+Q175*Q134+Q176*Q82</f>
        <v>-0.0856302729212751</v>
      </c>
      <c r="R177" s="31">
        <f>R174*R133+R175*R134+R176*R82</f>
        <v>0.14669538243149616</v>
      </c>
      <c r="S177" s="31">
        <f>S174*S133+S175*S134+S176*S82</f>
        <v>0.26857853144707355</v>
      </c>
      <c r="T177" s="31">
        <f>T174*T133+T175*T134+T176*T82</f>
        <v>0.21974720010845553</v>
      </c>
      <c r="U177" s="31">
        <f>U174*U133+U175*U134+U176*U82</f>
        <v>0.05998059348227969</v>
      </c>
      <c r="V177" s="31">
        <f>V174*V133+V175*V134+V176*V82</f>
        <v>-0.09123443131105231</v>
      </c>
      <c r="W177" s="31">
        <f>W174*W133+W175*W134+W176*W82</f>
        <v>-0.15369956842080923</v>
      </c>
      <c r="X177" s="31">
        <f>X174*X133+X175*X134+X176*X82</f>
        <v>-0.1353647338166124</v>
      </c>
      <c r="Y177" s="31">
        <f>Y174*Y133+Y175*Y134+Y176*Y82</f>
        <v>-0.09467744821397384</v>
      </c>
      <c r="Z177" s="31">
        <f>Z174*Z133+Z175*Z134+Z176*Z82</f>
        <v>-0.07323693941562595</v>
      </c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28"/>
      <c r="ID177" s="28"/>
      <c r="IE177" s="28"/>
      <c r="IF177" s="28"/>
      <c r="IG177" s="28"/>
      <c r="IH177" s="28"/>
      <c r="II177" s="28"/>
      <c r="IJ177" s="28"/>
      <c r="IK177" s="28"/>
      <c r="IL177" s="28"/>
      <c r="IM177" s="28"/>
      <c r="IN177" s="28"/>
      <c r="IO177" s="28"/>
      <c r="IP177" s="28"/>
      <c r="IQ177" s="28"/>
      <c r="IR177" s="28"/>
      <c r="IS177" s="28"/>
      <c r="IT177" s="28"/>
      <c r="IU177" s="28"/>
      <c r="IV177" s="28"/>
    </row>
    <row r="178" spans="1:256" ht="12.75">
      <c r="A178" t="s">
        <v>173</v>
      </c>
      <c r="B178" s="31">
        <f>(C173-B173)/0.26*B20</f>
        <v>-0.07078763432212144</v>
      </c>
      <c r="C178" s="31">
        <f>(D173-C173)/0.26*C20</f>
        <v>-0.06308775544706365</v>
      </c>
      <c r="D178" s="31">
        <f>(E173-D173)/0.26*D20</f>
        <v>-0.03830891207346769</v>
      </c>
      <c r="E178" s="31">
        <f>(F173-E173)/0.26*E20</f>
        <v>0.002923415039862095</v>
      </c>
      <c r="F178" s="31">
        <f>(G173-F173)/0.26*F20</f>
        <v>0.04183777554961966</v>
      </c>
      <c r="G178" s="31">
        <f>(H173-G173)/0.26*G20</f>
        <v>0.06302621364800215</v>
      </c>
      <c r="H178" s="31">
        <f>(I173-H173)/0.26*H20</f>
        <v>0.07123928108203449</v>
      </c>
      <c r="I178" s="31">
        <f>(J173-I173)/0.26*I20</f>
        <v>0.08889614411880324</v>
      </c>
      <c r="J178" s="31">
        <f>(K173-J173)/0.26*J20</f>
        <v>0.13152797177855968</v>
      </c>
      <c r="K178" s="31">
        <f>(L173-K173)/0.26*K20</f>
        <v>0.17338297005800318</v>
      </c>
      <c r="L178" s="31">
        <f>(M173-L173)/0.26*L20</f>
        <v>0.14289993905899986</v>
      </c>
      <c r="M178" s="31">
        <f>(N173-M173)/0.26*M20</f>
        <v>-0.007594519570361284</v>
      </c>
      <c r="N178" s="31">
        <f>(O173-N173)/0.26*N20</f>
        <v>-0.2074213575420429</v>
      </c>
      <c r="O178" s="31">
        <f>(P173-O173)/0.26*O20</f>
        <v>-0.2976305545287115</v>
      </c>
      <c r="P178" s="31">
        <f>(Q173-P173)/0.26*P20</f>
        <v>-0.19206172278357178</v>
      </c>
      <c r="Q178" s="31">
        <f>(R173-Q173)/0.26*Q20</f>
        <v>0.034373116257818984</v>
      </c>
      <c r="R178" s="31">
        <f>(S173-R173)/0.26*R20</f>
        <v>0.22281039888277424</v>
      </c>
      <c r="S178" s="31">
        <f>(T173-S173)/0.26*S20</f>
        <v>0.2592971482136302</v>
      </c>
      <c r="T178" s="31">
        <f>(U173-T173)/0.26*T20</f>
        <v>0.14527083028071716</v>
      </c>
      <c r="U178" s="31">
        <f>(V173-U173)/0.26*U20</f>
        <v>-0.021089294788922002</v>
      </c>
      <c r="V178" s="31">
        <f>(W173-V173)/0.26*V20</f>
        <v>-0.13172734302137346</v>
      </c>
      <c r="W178" s="31">
        <f>(X173-W173)/0.26*W20</f>
        <v>-0.1500738862215585</v>
      </c>
      <c r="X178" s="31">
        <f>(Y173-X173)/0.26*X20</f>
        <v>-0.11528387420954422</v>
      </c>
      <c r="Y178" s="31">
        <f>(Z173-Y173)/0.26*Y20</f>
        <v>-0.08241834946008647</v>
      </c>
      <c r="Z178" s="31">
        <f>(AA173-Z173)/0.26*Z20</f>
        <v>-0.17635163417610988</v>
      </c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28"/>
      <c r="ID178" s="28"/>
      <c r="IE178" s="28"/>
      <c r="IF178" s="28"/>
      <c r="IG178" s="28"/>
      <c r="IH178" s="28"/>
      <c r="II178" s="28"/>
      <c r="IJ178" s="28"/>
      <c r="IK178" s="28"/>
      <c r="IL178" s="28"/>
      <c r="IM178" s="28"/>
      <c r="IN178" s="28"/>
      <c r="IO178" s="28"/>
      <c r="IP178" s="28"/>
      <c r="IQ178" s="28"/>
      <c r="IR178" s="28"/>
      <c r="IS178" s="28"/>
      <c r="IT178" s="28"/>
      <c r="IU178" s="28"/>
      <c r="IV178" s="28"/>
    </row>
    <row r="179" spans="1:256" ht="12.75">
      <c r="A179" t="s">
        <v>161</v>
      </c>
      <c r="B179" s="31">
        <f>B134*$M$7*$I$10</f>
        <v>0</v>
      </c>
      <c r="C179" s="31">
        <f>C134*$M$7*$I$10</f>
        <v>0.5205947975526488</v>
      </c>
      <c r="D179" s="31">
        <f>D134*$M$7*$I$10</f>
        <v>0.5340409767854734</v>
      </c>
      <c r="E179" s="31">
        <f>E134*$M$7*$I$10</f>
        <v>0.19574628225964766</v>
      </c>
      <c r="F179" s="31">
        <f>F134*$M$7*$I$10</f>
        <v>-0.25273048028080336</v>
      </c>
      <c r="G179" s="31">
        <f>G134*$M$7*$I$10</f>
        <v>-0.5522259562011975</v>
      </c>
      <c r="H179" s="31">
        <f>H134*$M$7*$I$10</f>
        <v>-0.48230014318082</v>
      </c>
      <c r="I179" s="31">
        <f>I134*$M$7*$I$10</f>
        <v>0.0929675674516778</v>
      </c>
      <c r="J179" s="31">
        <f>J134*$M$7*$I$10</f>
        <v>1.1801787915728779</v>
      </c>
      <c r="K179" s="31">
        <f>K134*$M$7*$I$10</f>
        <v>2.6133111106163414</v>
      </c>
      <c r="L179" s="31">
        <f>L134*$M$7*$I$10</f>
        <v>4.041283425543585</v>
      </c>
      <c r="M179" s="31">
        <f>M134*$M$7*$I$10</f>
        <v>5.003774479063941</v>
      </c>
      <c r="N179" s="31">
        <f>N134*$M$7*$I$10</f>
        <v>5.119616465655537</v>
      </c>
      <c r="O179" s="31">
        <f>O134*$M$7*$I$10</f>
        <v>4.284773670747118</v>
      </c>
      <c r="P179" s="31">
        <f>P134*$M$7*$I$10</f>
        <v>2.7021487805595377</v>
      </c>
      <c r="Q179" s="31">
        <f>Q134*$M$7*$I$10</f>
        <v>0.7239779387335086</v>
      </c>
      <c r="R179" s="31">
        <f>R134*$M$7*$I$10</f>
        <v>-1.3102090408732303</v>
      </c>
      <c r="S179" s="31">
        <f>S134*$M$7*$I$10</f>
        <v>-3.1111412244387884</v>
      </c>
      <c r="T179" s="31">
        <f>T134*$M$7*$I$10</f>
        <v>-4.410700977730024</v>
      </c>
      <c r="U179" s="31">
        <f>U134*$M$7*$I$10</f>
        <v>-4.980786585768527</v>
      </c>
      <c r="V179" s="31">
        <f>V134*$M$7*$I$10</f>
        <v>-4.724660686847488</v>
      </c>
      <c r="W179" s="31">
        <f>W134*$M$7*$I$10</f>
        <v>-3.7589089422541964</v>
      </c>
      <c r="X179" s="31">
        <f>X134*$M$7*$I$10</f>
        <v>-2.396665779728235</v>
      </c>
      <c r="Y179" s="31">
        <f>Y134*$M$7*$I$10</f>
        <v>-1.0320844692385425</v>
      </c>
      <c r="Z179" s="31">
        <f>Z134*$M$7*$I$10</f>
        <v>0</v>
      </c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  <c r="HZ179" s="28"/>
      <c r="IA179" s="28"/>
      <c r="IB179" s="28"/>
      <c r="IC179" s="28"/>
      <c r="ID179" s="28"/>
      <c r="IE179" s="28"/>
      <c r="IF179" s="28"/>
      <c r="IG179" s="28"/>
      <c r="IH179" s="28"/>
      <c r="II179" s="28"/>
      <c r="IJ179" s="28"/>
      <c r="IK179" s="28"/>
      <c r="IL179" s="28"/>
      <c r="IM179" s="28"/>
      <c r="IN179" s="28"/>
      <c r="IO179" s="28"/>
      <c r="IP179" s="28"/>
      <c r="IQ179" s="28"/>
      <c r="IR179" s="28"/>
      <c r="IS179" s="28"/>
      <c r="IT179" s="28"/>
      <c r="IU179" s="28"/>
      <c r="IV179" s="28"/>
    </row>
    <row r="180" spans="1:26" s="27" customFormat="1" ht="12.75">
      <c r="A180" s="25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56" s="27" customFormat="1" ht="12.75">
      <c r="A181" s="25" t="s">
        <v>210</v>
      </c>
      <c r="B181" s="28">
        <f>(B146+B154+B162+B170+B179)</f>
        <v>20.93165606631738</v>
      </c>
      <c r="C181" s="28">
        <f>(C146+C154+C162+C170+C179)</f>
        <v>18.731058611408038</v>
      </c>
      <c r="D181" s="28">
        <f>(D146+D154+D162+D170+D179)</f>
        <v>14.76170066934154</v>
      </c>
      <c r="E181" s="28">
        <f>(E146+E154+E162+E170+E179)</f>
        <v>9.48541755835772</v>
      </c>
      <c r="F181" s="28">
        <f>(F146+F154+F162+F170+F179)</f>
        <v>3.493996195832534</v>
      </c>
      <c r="G181" s="28">
        <f>(G146+G154+G162+G170+G179)</f>
        <v>-2.5885433608404576</v>
      </c>
      <c r="H181" s="28">
        <f>(H146+H154+H162+H170+H179)</f>
        <v>-8.172850218422063</v>
      </c>
      <c r="I181" s="28">
        <f>(I146+I154+I162+I170+I179)</f>
        <v>-12.755558744070193</v>
      </c>
      <c r="J181" s="28">
        <f>(J146+J154+J162+J170+J179)</f>
        <v>-15.977293283978444</v>
      </c>
      <c r="K181" s="28">
        <f>(K146+K154+K162+K170+K179)</f>
        <v>-17.69035789385897</v>
      </c>
      <c r="L181" s="28">
        <f>(L146+L154+L162+L170+L179)</f>
        <v>-18.002215514926586</v>
      </c>
      <c r="M181" s="28">
        <f>(M146+M154+M162+M170+M179)</f>
        <v>-17.230066384986014</v>
      </c>
      <c r="N181" s="28">
        <f>(N146+N154+N162+N170+N179)</f>
        <v>-15.735982675945142</v>
      </c>
      <c r="O181" s="28">
        <f>(O146+O154+O162+O170+O179)</f>
        <v>-13.739082253145977</v>
      </c>
      <c r="P181" s="28">
        <f>(P146+P154+P162+P170+P179)</f>
        <v>-11.273273433554323</v>
      </c>
      <c r="Q181" s="28">
        <f>(Q146+Q154+Q162+Q170+Q179)</f>
        <v>-8.307002941896103</v>
      </c>
      <c r="R181" s="28">
        <f>(R146+R154+R162+R170+R179)</f>
        <v>-4.857379696910533</v>
      </c>
      <c r="S181" s="28">
        <f>(S146+S154+S162+S170+S179)</f>
        <v>-0.9920149681028829</v>
      </c>
      <c r="T181" s="28">
        <f>(T146+T154+T162+T170+T179)</f>
        <v>3.215497085275304</v>
      </c>
      <c r="U181" s="28">
        <f>(U146+U154+U162+U170+U179)</f>
        <v>7.668855078809319</v>
      </c>
      <c r="V181" s="28">
        <f>(V146+V154+V162+V170+V179)</f>
        <v>12.156603634446864</v>
      </c>
      <c r="W181" s="28">
        <f>(W146+W154+W162+W170+W179)</f>
        <v>16.27433682433861</v>
      </c>
      <c r="X181" s="28">
        <f>(X146+X154+X162+X170+X179)</f>
        <v>19.459542426842148</v>
      </c>
      <c r="Y181" s="28">
        <f>(Y146+Y154+Y162+Y170+Y179)</f>
        <v>21.14295721966826</v>
      </c>
      <c r="Z181" s="28">
        <f>(Z146+Z154+Z162+Z170+Z179)</f>
        <v>20.93165606631738</v>
      </c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  <c r="IF181" s="28"/>
      <c r="IG181" s="28"/>
      <c r="IH181" s="28"/>
      <c r="II181" s="28"/>
      <c r="IJ181" s="28"/>
      <c r="IK181" s="28"/>
      <c r="IL181" s="28"/>
      <c r="IM181" s="28"/>
      <c r="IN181" s="28"/>
      <c r="IO181" s="28"/>
      <c r="IP181" s="28"/>
      <c r="IQ181" s="28"/>
      <c r="IR181" s="28"/>
      <c r="IS181" s="28"/>
      <c r="IT181" s="28"/>
      <c r="IU181" s="28"/>
      <c r="IV181" s="28"/>
    </row>
    <row r="182" spans="1:256" s="27" customFormat="1" ht="12.75">
      <c r="A182" s="25" t="s">
        <v>211</v>
      </c>
      <c r="B182" s="28">
        <f>(B145+B153+B161+B169+B177)</f>
        <v>-0.7719046128164773</v>
      </c>
      <c r="C182" s="28">
        <f>(C145+C153+C161+C169+C177)</f>
        <v>-0.8415086056758676</v>
      </c>
      <c r="D182" s="28">
        <f>(D145+D153+D161+D169+D177)</f>
        <v>-0.6370040120710585</v>
      </c>
      <c r="E182" s="28">
        <f>(E145+E153+E161+E169+E177)</f>
        <v>-0.21034202836663735</v>
      </c>
      <c r="F182" s="28">
        <f>(F145+F153+F161+F169+F177)</f>
        <v>0.27839202702186894</v>
      </c>
      <c r="G182" s="28">
        <f>(G145+G153+G161+G169+G177)</f>
        <v>0.6529289426303212</v>
      </c>
      <c r="H182" s="28">
        <f>(H145+H153+H161+H169+H177)</f>
        <v>0.8082613154450098</v>
      </c>
      <c r="I182" s="28">
        <f>(I145+I153+I161+I169+I177)</f>
        <v>0.7408737492730706</v>
      </c>
      <c r="J182" s="28">
        <f>(J145+J153+J161+J169+J177)</f>
        <v>0.5201659980346679</v>
      </c>
      <c r="K182" s="28">
        <f>(K145+K153+K161+K169+K177)</f>
        <v>0.22683530416291878</v>
      </c>
      <c r="L182" s="28">
        <f>(L145+L153+L161+L169+L177)</f>
        <v>-0.1011447930820783</v>
      </c>
      <c r="M182" s="28">
        <f>(M145+M153+M161+M169+M177)</f>
        <v>-0.45756476884371716</v>
      </c>
      <c r="N182" s="28">
        <f>(N145+N153+N161+N169+N177)</f>
        <v>-0.7792303598184849</v>
      </c>
      <c r="O182" s="28">
        <f>(O145+O153+O161+O169+O177)</f>
        <v>-0.9056456348948458</v>
      </c>
      <c r="P182" s="28">
        <f>(P145+P153+P161+P169+P177)</f>
        <v>-0.7073515817305864</v>
      </c>
      <c r="Q182" s="28">
        <f>(Q145+Q153+Q161+Q169+Q177)</f>
        <v>-0.2373976542764507</v>
      </c>
      <c r="R182" s="28">
        <f>(R145+R153+R161+R169+R177)</f>
        <v>0.29578547229825713</v>
      </c>
      <c r="S182" s="28">
        <f>(S145+S153+S161+S169+S177)</f>
        <v>0.6771445759106609</v>
      </c>
      <c r="T182" s="28">
        <f>(T145+T153+T161+T169+T177)</f>
        <v>0.8009859558690816</v>
      </c>
      <c r="U182" s="28">
        <f>(U145+U153+U161+U169+U177)</f>
        <v>0.6948788152653471</v>
      </c>
      <c r="V182" s="28">
        <f>(V145+V153+V161+V169+V177)</f>
        <v>0.45740840676798206</v>
      </c>
      <c r="W182" s="28">
        <f>(W145+W153+W161+W169+W177)</f>
        <v>0.16457209534576073</v>
      </c>
      <c r="X182" s="28">
        <f>(X145+X153+X161+X169+X177)</f>
        <v>-0.16284232482116415</v>
      </c>
      <c r="Y182" s="28">
        <f>(Y145+Y153+Y161+Y169+Y177)</f>
        <v>-0.5032562787907964</v>
      </c>
      <c r="Z182" s="28">
        <f>(Z145+Z153+Z161+Z169+Z177)</f>
        <v>-0.771904612816477</v>
      </c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  <c r="ID182" s="28"/>
      <c r="IE182" s="28"/>
      <c r="IF182" s="28"/>
      <c r="IG182" s="28"/>
      <c r="IH182" s="28"/>
      <c r="II182" s="28"/>
      <c r="IJ182" s="28"/>
      <c r="IK182" s="28"/>
      <c r="IL182" s="28"/>
      <c r="IM182" s="28"/>
      <c r="IN182" s="28"/>
      <c r="IO182" s="28"/>
      <c r="IP182" s="28"/>
      <c r="IQ182" s="28"/>
      <c r="IR182" s="28"/>
      <c r="IS182" s="28"/>
      <c r="IT182" s="28"/>
      <c r="IU182" s="28"/>
      <c r="IV182" s="28"/>
    </row>
    <row r="183" spans="1:256" s="27" customFormat="1" ht="12.75">
      <c r="A183" s="25" t="s">
        <v>212</v>
      </c>
      <c r="B183" s="28">
        <f>SUM(B181:B182)</f>
        <v>20.159751453500903</v>
      </c>
      <c r="C183" s="28">
        <f>SUM(C181:C182)</f>
        <v>17.889550005732172</v>
      </c>
      <c r="D183" s="28">
        <f>SUM(D181:D182)</f>
        <v>14.124696657270482</v>
      </c>
      <c r="E183" s="28">
        <f>SUM(E181:E182)</f>
        <v>9.275075529991081</v>
      </c>
      <c r="F183" s="28">
        <f>SUM(F181:F182)</f>
        <v>3.772388222854403</v>
      </c>
      <c r="G183" s="28">
        <f>SUM(G181:G182)</f>
        <v>-1.9356144182101365</v>
      </c>
      <c r="H183" s="28">
        <f>SUM(H181:H182)</f>
        <v>-7.3645889029770535</v>
      </c>
      <c r="I183" s="28">
        <f>SUM(I181:I182)</f>
        <v>-12.014684994797122</v>
      </c>
      <c r="J183" s="28">
        <f>SUM(J181:J182)</f>
        <v>-15.457127285943775</v>
      </c>
      <c r="K183" s="28">
        <f>SUM(K181:K182)</f>
        <v>-17.46352258969605</v>
      </c>
      <c r="L183" s="28">
        <f>SUM(L181:L182)</f>
        <v>-18.103360308008664</v>
      </c>
      <c r="M183" s="28">
        <f>SUM(M181:M182)</f>
        <v>-17.68763115382973</v>
      </c>
      <c r="N183" s="28">
        <f>SUM(N181:N182)</f>
        <v>-16.515213035763626</v>
      </c>
      <c r="O183" s="28">
        <f>SUM(O181:O182)</f>
        <v>-14.644727888040823</v>
      </c>
      <c r="P183" s="28">
        <f>SUM(P181:P182)</f>
        <v>-11.98062501528491</v>
      </c>
      <c r="Q183" s="28">
        <f>SUM(Q181:Q182)</f>
        <v>-8.544400596172554</v>
      </c>
      <c r="R183" s="28">
        <f>SUM(R181:R182)</f>
        <v>-4.561594224612276</v>
      </c>
      <c r="S183" s="28">
        <f>SUM(S181:S182)</f>
        <v>-0.314870392192222</v>
      </c>
      <c r="T183" s="28">
        <f>SUM(T181:T182)</f>
        <v>4.016483041144386</v>
      </c>
      <c r="U183" s="28">
        <f>SUM(U181:U182)</f>
        <v>8.363733894074667</v>
      </c>
      <c r="V183" s="28">
        <f>SUM(V181:V182)</f>
        <v>12.614012041214846</v>
      </c>
      <c r="W183" s="28">
        <f>SUM(W181:W182)</f>
        <v>16.438908919684373</v>
      </c>
      <c r="X183" s="28">
        <f>SUM(X181:X182)</f>
        <v>19.296700102020985</v>
      </c>
      <c r="Y183" s="28">
        <f>SUM(Y181:Y182)</f>
        <v>20.639700940877464</v>
      </c>
      <c r="Z183" s="28">
        <f>SUM(Z181:Z182)</f>
        <v>20.159751453500903</v>
      </c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28"/>
      <c r="ID183" s="28"/>
      <c r="IE183" s="28"/>
      <c r="IF183" s="28"/>
      <c r="IG183" s="28"/>
      <c r="IH183" s="28"/>
      <c r="II183" s="28"/>
      <c r="IJ183" s="28"/>
      <c r="IK183" s="28"/>
      <c r="IL183" s="28"/>
      <c r="IM183" s="28"/>
      <c r="IN183" s="28"/>
      <c r="IO183" s="28"/>
      <c r="IP183" s="28"/>
      <c r="IQ183" s="28"/>
      <c r="IR183" s="28"/>
      <c r="IS183" s="28"/>
      <c r="IT183" s="28"/>
      <c r="IU183" s="28"/>
      <c r="IV183" s="28"/>
    </row>
    <row r="184" spans="1:256" s="27" customFormat="1" ht="12.75">
      <c r="A184" s="30" t="s">
        <v>162</v>
      </c>
      <c r="B184" s="54">
        <f>B183/B20</f>
        <v>20.159751453500903</v>
      </c>
      <c r="C184" s="54">
        <f>C183/C20</f>
        <v>17.889550005732172</v>
      </c>
      <c r="D184" s="54">
        <f>D183/D20</f>
        <v>14.124696657270482</v>
      </c>
      <c r="E184" s="54">
        <f>E183/E20</f>
        <v>9.275075529991081</v>
      </c>
      <c r="F184" s="54">
        <f>F183/F20</f>
        <v>3.772388222854403</v>
      </c>
      <c r="G184" s="54">
        <f>G183/G20</f>
        <v>-1.9356144182101365</v>
      </c>
      <c r="H184" s="54">
        <f>H183/H20</f>
        <v>-7.3645889029770535</v>
      </c>
      <c r="I184" s="54">
        <f>I183/I20</f>
        <v>-12.014684994797122</v>
      </c>
      <c r="J184" s="54">
        <f>J183/J20</f>
        <v>-15.457127285943775</v>
      </c>
      <c r="K184" s="54">
        <f>K183/K20</f>
        <v>-17.46352258969605</v>
      </c>
      <c r="L184" s="54">
        <f>L183/L20</f>
        <v>-18.103360308008664</v>
      </c>
      <c r="M184" s="54">
        <f>M183/M20</f>
        <v>-17.68763115382973</v>
      </c>
      <c r="N184" s="54">
        <f>N183/N20</f>
        <v>-16.515213035763626</v>
      </c>
      <c r="O184" s="54">
        <f>O183/O20</f>
        <v>-14.644727888040823</v>
      </c>
      <c r="P184" s="54">
        <f>P183/P20</f>
        <v>-11.98062501528491</v>
      </c>
      <c r="Q184" s="54">
        <f>Q183/Q20</f>
        <v>-8.544400596172554</v>
      </c>
      <c r="R184" s="54">
        <f>R183/R20</f>
        <v>-4.561594224612276</v>
      </c>
      <c r="S184" s="54">
        <f>S183/S20</f>
        <v>-0.314870392192222</v>
      </c>
      <c r="T184" s="54">
        <f>T183/T20</f>
        <v>4.016483041144386</v>
      </c>
      <c r="U184" s="54">
        <f>U183/U20</f>
        <v>8.363733894074667</v>
      </c>
      <c r="V184" s="54">
        <f>V183/V20</f>
        <v>12.614012041214846</v>
      </c>
      <c r="W184" s="54">
        <f>W183/W20</f>
        <v>16.438908919684373</v>
      </c>
      <c r="X184" s="54">
        <f>X183/X20</f>
        <v>19.296700102020985</v>
      </c>
      <c r="Y184" s="54">
        <f>Y183/Y20</f>
        <v>20.639700940877464</v>
      </c>
      <c r="Z184" s="54">
        <f>Z183/Z20</f>
        <v>20.159751453500903</v>
      </c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  <c r="GD184" s="69"/>
      <c r="GE184" s="69"/>
      <c r="GF184" s="69"/>
      <c r="GG184" s="69"/>
      <c r="GH184" s="69"/>
      <c r="GI184" s="69"/>
      <c r="GJ184" s="69"/>
      <c r="GK184" s="69"/>
      <c r="GL184" s="69"/>
      <c r="GM184" s="69"/>
      <c r="GN184" s="69"/>
      <c r="GO184" s="69"/>
      <c r="GP184" s="69"/>
      <c r="GQ184" s="69"/>
      <c r="GR184" s="69"/>
      <c r="GS184" s="69"/>
      <c r="GT184" s="69"/>
      <c r="GU184" s="69"/>
      <c r="GV184" s="69"/>
      <c r="GW184" s="69"/>
      <c r="GX184" s="69"/>
      <c r="GY184" s="69"/>
      <c r="GZ184" s="69"/>
      <c r="HA184" s="69"/>
      <c r="HB184" s="69"/>
      <c r="HC184" s="69"/>
      <c r="HD184" s="69"/>
      <c r="HE184" s="69"/>
      <c r="HF184" s="69"/>
      <c r="HG184" s="69"/>
      <c r="HH184" s="69"/>
      <c r="HI184" s="69"/>
      <c r="HJ184" s="69"/>
      <c r="HK184" s="69"/>
      <c r="HL184" s="69"/>
      <c r="HM184" s="69"/>
      <c r="HN184" s="69"/>
      <c r="HO184" s="69"/>
      <c r="HP184" s="69"/>
      <c r="HQ184" s="69"/>
      <c r="HR184" s="69"/>
      <c r="HS184" s="69"/>
      <c r="HT184" s="69"/>
      <c r="HU184" s="69"/>
      <c r="HV184" s="69"/>
      <c r="HW184" s="69"/>
      <c r="HX184" s="69"/>
      <c r="HY184" s="69"/>
      <c r="HZ184" s="69"/>
      <c r="IA184" s="69"/>
      <c r="IB184" s="69"/>
      <c r="IC184" s="69"/>
      <c r="ID184" s="69"/>
      <c r="IE184" s="69"/>
      <c r="IF184" s="69"/>
      <c r="IG184" s="69"/>
      <c r="IH184" s="69"/>
      <c r="II184" s="69"/>
      <c r="IJ184" s="69"/>
      <c r="IK184" s="69"/>
      <c r="IL184" s="69"/>
      <c r="IM184" s="69"/>
      <c r="IN184" s="69"/>
      <c r="IO184" s="69"/>
      <c r="IP184" s="69"/>
      <c r="IQ184" s="69"/>
      <c r="IR184" s="69"/>
      <c r="IS184" s="69"/>
      <c r="IT184" s="69"/>
      <c r="IU184" s="69"/>
      <c r="IV184" s="69"/>
    </row>
    <row r="185" spans="1:26" ht="12.75">
      <c r="A185" s="26"/>
      <c r="B185" s="38"/>
      <c r="C185" s="38"/>
      <c r="D185" s="38"/>
      <c r="E185" s="38"/>
      <c r="F185" s="38"/>
      <c r="G185" s="38" t="s">
        <v>177</v>
      </c>
      <c r="H185" s="38"/>
      <c r="I185" s="38"/>
      <c r="J185" s="38"/>
      <c r="K185" s="38"/>
      <c r="L185" s="38"/>
      <c r="M185" s="38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56" ht="12.75">
      <c r="A186" s="25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24"/>
      <c r="IV186" s="24"/>
    </row>
    <row r="187" spans="1:256" ht="12.75">
      <c r="A187" s="25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24"/>
    </row>
    <row r="188" spans="27:256" s="27" customFormat="1" ht="12.75"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  <c r="IQ188" s="28"/>
      <c r="IR188" s="28"/>
      <c r="IS188" s="28"/>
      <c r="IT188" s="28"/>
      <c r="IU188" s="28"/>
      <c r="IV188" s="28"/>
    </row>
    <row r="189" spans="1:256" ht="12.75">
      <c r="A189" s="25" t="s">
        <v>175</v>
      </c>
      <c r="B189" s="31">
        <v>0</v>
      </c>
      <c r="C189" s="31"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  <c r="IC189" s="24"/>
      <c r="ID189" s="24"/>
      <c r="IE189" s="24"/>
      <c r="IF189" s="24"/>
      <c r="IG189" s="24"/>
      <c r="IH189" s="24"/>
      <c r="II189" s="24"/>
      <c r="IJ189" s="24"/>
      <c r="IK189" s="24"/>
      <c r="IL189" s="24"/>
      <c r="IM189" s="24"/>
      <c r="IN189" s="24"/>
      <c r="IO189" s="24"/>
      <c r="IP189" s="24"/>
      <c r="IQ189" s="24"/>
      <c r="IR189" s="24"/>
      <c r="IS189" s="24"/>
      <c r="IT189" s="24"/>
      <c r="IU189" s="24"/>
      <c r="IV189" s="24"/>
    </row>
    <row r="190" spans="1:256" ht="12.75">
      <c r="A190" s="25" t="s">
        <v>176</v>
      </c>
      <c r="B190" s="31">
        <v>0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  <c r="IC190" s="24"/>
      <c r="ID190" s="24"/>
      <c r="IE190" s="24"/>
      <c r="IF190" s="24"/>
      <c r="IG190" s="24"/>
      <c r="IH190" s="24"/>
      <c r="II190" s="24"/>
      <c r="IJ190" s="24"/>
      <c r="IK190" s="24"/>
      <c r="IL190" s="24"/>
      <c r="IM190" s="24"/>
      <c r="IN190" s="24"/>
      <c r="IO190" s="24"/>
      <c r="IP190" s="24"/>
      <c r="IQ190" s="24"/>
      <c r="IR190" s="24"/>
      <c r="IS190" s="24"/>
      <c r="IT190" s="24"/>
      <c r="IU190" s="24"/>
      <c r="IV190" s="24"/>
    </row>
    <row r="191" spans="1:13" ht="12.75">
      <c r="A191" s="25" t="s">
        <v>224</v>
      </c>
      <c r="B191" s="31">
        <f>$M$7*$I$10</f>
        <v>9.81</v>
      </c>
      <c r="C191" s="30"/>
      <c r="D191" s="30"/>
      <c r="E191" s="30"/>
      <c r="F191" s="30"/>
      <c r="G191" s="30" t="s">
        <v>223</v>
      </c>
      <c r="H191" s="30"/>
      <c r="I191" s="30"/>
      <c r="J191" s="30"/>
      <c r="K191" s="30"/>
      <c r="L191" s="30"/>
      <c r="M191" s="30"/>
    </row>
    <row r="192" spans="1:256" ht="12.75">
      <c r="A192" s="24" t="s">
        <v>181</v>
      </c>
      <c r="B192" s="31">
        <f>B189+B174</f>
        <v>0.13170967090684635</v>
      </c>
      <c r="C192" s="31">
        <f>C189+C174</f>
        <v>0.22156057509322596</v>
      </c>
      <c r="D192" s="31">
        <f>D189+D174</f>
        <v>0.26369042671308446</v>
      </c>
      <c r="E192" s="31">
        <f>E189+E174</f>
        <v>0.27590130759932247</v>
      </c>
      <c r="F192" s="31">
        <f>F189+F174</f>
        <v>0.27265889622763767</v>
      </c>
      <c r="G192" s="31">
        <f>G189+G174</f>
        <v>0.2551350002364625</v>
      </c>
      <c r="H192" s="31">
        <f>H189+H174</f>
        <v>0.21099948837779486</v>
      </c>
      <c r="I192" s="31">
        <f>I189+I174</f>
        <v>0.12237658431403395</v>
      </c>
      <c r="J192" s="31">
        <f>J189+J174</f>
        <v>-0.02020683574056903</v>
      </c>
      <c r="K192" s="31">
        <f>K189+K174</f>
        <v>-0.1997247522068663</v>
      </c>
      <c r="L192" s="31">
        <f>L189+L174</f>
        <v>-0.3586303682853693</v>
      </c>
      <c r="M192" s="31">
        <f>M189+M174</f>
        <v>-0.41109003381416614</v>
      </c>
      <c r="N192" s="31">
        <f>N189+N174</f>
        <v>-0.299429984831398</v>
      </c>
      <c r="O192" s="31">
        <f>O189+O174</f>
        <v>-0.058446195867647155</v>
      </c>
      <c r="P192" s="31">
        <f>P189+P174</f>
        <v>0.1914585582372919</v>
      </c>
      <c r="Q192" s="31">
        <f>Q189+Q174</f>
        <v>0.32708669183094335</v>
      </c>
      <c r="R192" s="31">
        <f>R189+R174</f>
        <v>0.29388704199088006</v>
      </c>
      <c r="S192" s="31">
        <f>S189+S174</f>
        <v>0.11793484093573842</v>
      </c>
      <c r="T192" s="31">
        <f>T189+T174</f>
        <v>-0.1178217040698292</v>
      </c>
      <c r="U192" s="31">
        <f>U189+U174</f>
        <v>-0.31113328486974634</v>
      </c>
      <c r="V192" s="31">
        <f>V189+V174</f>
        <v>-0.38649691605522685</v>
      </c>
      <c r="W192" s="31">
        <f>W189+W174</f>
        <v>-0.3291386977222274</v>
      </c>
      <c r="X192" s="31">
        <f>X189+X174</f>
        <v>-0.1818196339652642</v>
      </c>
      <c r="Y192" s="31">
        <f>Y189+Y174</f>
        <v>-0.010460675034964118</v>
      </c>
      <c r="Z192" s="31">
        <f>Z189+Z174</f>
        <v>0.13170967090684632</v>
      </c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  <c r="IQ192" s="28"/>
      <c r="IR192" s="28"/>
      <c r="IS192" s="28"/>
      <c r="IT192" s="28"/>
      <c r="IU192" s="28"/>
      <c r="IV192" s="28"/>
    </row>
    <row r="193" spans="1:256" ht="12.75">
      <c r="A193" s="24" t="s">
        <v>182</v>
      </c>
      <c r="B193" s="54">
        <f>B190+B175+$M$7*$I$10</f>
        <v>10.117859567090296</v>
      </c>
      <c r="C193" s="54">
        <f>C190+C175+$M$7*$I$10</f>
        <v>9.908066917476853</v>
      </c>
      <c r="D193" s="54">
        <f>D190+D175+$M$7*$I$10</f>
        <v>9.73294030337269</v>
      </c>
      <c r="E193" s="54">
        <f>E190+E175+$M$7*$I$10</f>
        <v>9.63975240186387</v>
      </c>
      <c r="F193" s="54">
        <f>F190+F175+$M$7*$I$10</f>
        <v>9.648181520510754</v>
      </c>
      <c r="G193" s="54">
        <f>G190+G175+$M$7*$I$10</f>
        <v>9.753180357832395</v>
      </c>
      <c r="H193" s="54">
        <f>H190+H175+$M$7*$I$10</f>
        <v>9.930382088509237</v>
      </c>
      <c r="I193" s="54">
        <f>I190+I175+$M$7*$I$10</f>
        <v>10.138337006215794</v>
      </c>
      <c r="J193" s="54">
        <f>J190+J175+$M$7*$I$10</f>
        <v>10.317686480726845</v>
      </c>
      <c r="K193" s="54">
        <f>K190+K175+$M$7*$I$10</f>
        <v>10.395119133023192</v>
      </c>
      <c r="L193" s="54">
        <f>L190+L175+$M$7*$I$10</f>
        <v>10.305705895778887</v>
      </c>
      <c r="M193" s="54">
        <f>M190+M175+$M$7*$I$10</f>
        <v>10.037586131687052</v>
      </c>
      <c r="N193" s="54">
        <f>N190+N175+$M$7*$I$10</f>
        <v>9.665648468976446</v>
      </c>
      <c r="O193" s="54">
        <f>O190+O175+$M$7*$I$10</f>
        <v>9.31864668099685</v>
      </c>
      <c r="P193" s="54">
        <f>P190+P175+$M$7*$I$10</f>
        <v>9.092953335254574</v>
      </c>
      <c r="Q193" s="54">
        <f>Q190+Q175+$M$7*$I$10</f>
        <v>9.008758826225906</v>
      </c>
      <c r="R193" s="54">
        <f>R190+R175+$M$7*$I$10</f>
        <v>9.045590030075</v>
      </c>
      <c r="S193" s="54">
        <f>S190+S175+$M$7*$I$10</f>
        <v>9.189449573413903</v>
      </c>
      <c r="T193" s="54">
        <f>T190+T175+$M$7*$I$10</f>
        <v>9.434021909792957</v>
      </c>
      <c r="U193" s="54">
        <f>U190+U175+$M$7*$I$10</f>
        <v>9.748941869271764</v>
      </c>
      <c r="V193" s="54">
        <f>V190+V175+$M$7*$I$10</f>
        <v>10.062834142675717</v>
      </c>
      <c r="W193" s="54">
        <f>W190+W175+$M$7*$I$10</f>
        <v>10.28807947478693</v>
      </c>
      <c r="X193" s="54">
        <f>X190+X175+$M$7*$I$10</f>
        <v>10.366195305253642</v>
      </c>
      <c r="Y193" s="54">
        <f>Y190+Y175+$M$7*$I$10</f>
        <v>10.294082579188451</v>
      </c>
      <c r="Z193" s="54">
        <f>Z190+Z175+$M$7*$I$10</f>
        <v>10.117859567090296</v>
      </c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  <c r="FI193" s="69"/>
      <c r="FJ193" s="69"/>
      <c r="FK193" s="69"/>
      <c r="FL193" s="69"/>
      <c r="FM193" s="69"/>
      <c r="FN193" s="69"/>
      <c r="FO193" s="69"/>
      <c r="FP193" s="69"/>
      <c r="FQ193" s="69"/>
      <c r="FR193" s="69"/>
      <c r="FS193" s="69"/>
      <c r="FT193" s="69"/>
      <c r="FU193" s="69"/>
      <c r="FV193" s="69"/>
      <c r="FW193" s="69"/>
      <c r="FX193" s="69"/>
      <c r="FY193" s="69"/>
      <c r="FZ193" s="69"/>
      <c r="GA193" s="69"/>
      <c r="GB193" s="69"/>
      <c r="GC193" s="69"/>
      <c r="GD193" s="69"/>
      <c r="GE193" s="69"/>
      <c r="GF193" s="69"/>
      <c r="GG193" s="69"/>
      <c r="GH193" s="69"/>
      <c r="GI193" s="69"/>
      <c r="GJ193" s="69"/>
      <c r="GK193" s="69"/>
      <c r="GL193" s="69"/>
      <c r="GM193" s="69"/>
      <c r="GN193" s="69"/>
      <c r="GO193" s="69"/>
      <c r="GP193" s="69"/>
      <c r="GQ193" s="69"/>
      <c r="GR193" s="69"/>
      <c r="GS193" s="69"/>
      <c r="GT193" s="69"/>
      <c r="GU193" s="69"/>
      <c r="GV193" s="69"/>
      <c r="GW193" s="69"/>
      <c r="GX193" s="69"/>
      <c r="GY193" s="69"/>
      <c r="GZ193" s="69"/>
      <c r="HA193" s="69"/>
      <c r="HB193" s="69"/>
      <c r="HC193" s="69"/>
      <c r="HD193" s="69"/>
      <c r="HE193" s="69"/>
      <c r="HF193" s="69"/>
      <c r="HG193" s="69"/>
      <c r="HH193" s="69"/>
      <c r="HI193" s="69"/>
      <c r="HJ193" s="69"/>
      <c r="HK193" s="69"/>
      <c r="HL193" s="69"/>
      <c r="HM193" s="69"/>
      <c r="HN193" s="69"/>
      <c r="HO193" s="69"/>
      <c r="HP193" s="69"/>
      <c r="HQ193" s="69"/>
      <c r="HR193" s="69"/>
      <c r="HS193" s="69"/>
      <c r="HT193" s="69"/>
      <c r="HU193" s="69"/>
      <c r="HV193" s="69"/>
      <c r="HW193" s="69"/>
      <c r="HX193" s="69"/>
      <c r="HY193" s="69"/>
      <c r="HZ193" s="69"/>
      <c r="IA193" s="69"/>
      <c r="IB193" s="69"/>
      <c r="IC193" s="69"/>
      <c r="ID193" s="69"/>
      <c r="IE193" s="69"/>
      <c r="IF193" s="69"/>
      <c r="IG193" s="69"/>
      <c r="IH193" s="69"/>
      <c r="II193" s="69"/>
      <c r="IJ193" s="69"/>
      <c r="IK193" s="69"/>
      <c r="IL193" s="69"/>
      <c r="IM193" s="69"/>
      <c r="IN193" s="69"/>
      <c r="IO193" s="69"/>
      <c r="IP193" s="69"/>
      <c r="IQ193" s="69"/>
      <c r="IR193" s="69"/>
      <c r="IS193" s="69"/>
      <c r="IT193" s="69"/>
      <c r="IU193" s="69"/>
      <c r="IV193" s="69"/>
    </row>
    <row r="194" spans="1:256" ht="12.75">
      <c r="A194" s="25" t="s">
        <v>183</v>
      </c>
      <c r="B194" s="54">
        <f>-B174*(B132-B67)+(B175+$M$7*$I$10)*(B130-B65)-B189*(B92-B67)+B190*(B91-B65)+B176</f>
        <v>40.81346005283623</v>
      </c>
      <c r="C194" s="54">
        <f>-C174*(C132-C67)+(C175+$M$7*$I$10)*(C130-C65)-C189*(C92-C67)+C190*(C91-C65)+C176</f>
        <v>39.60198054368798</v>
      </c>
      <c r="D194" s="54">
        <f>-D174*(D132-D67)+(D175+$M$7*$I$10)*(D130-D65)-D189*(D92-D67)+D190*(D91-D65)+D176</f>
        <v>38.607606600662784</v>
      </c>
      <c r="E194" s="54">
        <f>-E174*(E132-E67)+(E175+$M$7*$I$10)*(E130-E65)-E189*(E92-E67)+E190*(E91-E65)+E176</f>
        <v>38.073615386541434</v>
      </c>
      <c r="F194" s="54">
        <f>-F174*(F132-F67)+(F175+$M$7*$I$10)*(F130-F65)-F189*(F92-F67)+F190*(F91-F65)+F176</f>
        <v>38.11342179376522</v>
      </c>
      <c r="G194" s="54">
        <f>-G174*(G132-G67)+(G175+$M$7*$I$10)*(G130-G65)-G189*(G92-G67)+G190*(G91-G65)+G176</f>
        <v>38.70827307453597</v>
      </c>
      <c r="H194" s="54">
        <f>-H174*(H132-H67)+(H175+$M$7*$I$10)*(H130-H65)-H189*(H92-H67)+H190*(H91-H65)+H176</f>
        <v>39.72740445854498</v>
      </c>
      <c r="I194" s="54">
        <f>-I174*(I132-I67)+(I175+$M$7*$I$10)*(I130-I65)-I189*(I92-I67)+I190*(I91-I65)+I176</f>
        <v>40.94791508908981</v>
      </c>
      <c r="J194" s="54">
        <f>-J174*(J132-J67)+(J175+$M$7*$I$10)*(J130-J65)-J189*(J92-J67)+J190*(J91-J65)+J176</f>
        <v>42.06454749782571</v>
      </c>
      <c r="K194" s="54">
        <f>-K174*(K132-K67)+(K175+$M$7*$I$10)*(K130-K65)-K189*(K92-K67)+K190*(K91-K65)+K176</f>
        <v>42.70833114808275</v>
      </c>
      <c r="L194" s="54">
        <f>-L174*(L132-L67)+(L175+$M$7*$I$10)*(L130-L65)-L189*(L92-L67)+L190*(L91-L65)+L176</f>
        <v>42.52282215130575</v>
      </c>
      <c r="M194" s="54">
        <f>-M174*(M132-M67)+(M175+$M$7*$I$10)*(M130-M65)-M189*(M92-M67)+M190*(M91-M65)+M176</f>
        <v>41.33449017016637</v>
      </c>
      <c r="N194" s="54">
        <f>-N174*(N132-N67)+(N175+$M$7*$I$10)*(N130-N65)-N189*(N92-N67)+N190*(N91-N65)+N176</f>
        <v>39.34280942904287</v>
      </c>
      <c r="O194" s="54">
        <f>-O174*(O132-O67)+(O175+$M$7*$I$10)*(O130-O65)-O189*(O92-O67)+O190*(O91-O65)+O176</f>
        <v>37.12590059392175</v>
      </c>
      <c r="P194" s="54">
        <f>-P174*(P132-P67)+(P175+$M$7*$I$10)*(P130-P65)-P189*(P92-P67)+P190*(P91-P65)+P176</f>
        <v>35.370622111645645</v>
      </c>
      <c r="Q194" s="54">
        <f>-Q174*(Q132-Q67)+(Q175+$M$7*$I$10)*(Q130-Q65)-Q189*(Q92-Q67)+Q190*(Q91-Q65)+Q176</f>
        <v>34.5505131465179</v>
      </c>
      <c r="R194" s="54">
        <f>-R174*(R132-R67)+(R175+$M$7*$I$10)*(R130-R65)-R189*(R92-R67)+R190*(R91-R65)+R176</f>
        <v>34.80723909654101</v>
      </c>
      <c r="S194" s="54">
        <f>-S174*(S132-S67)+(S175+$M$7*$I$10)*(S130-S65)-S189*(S92-S67)+S190*(S91-S65)+S176</f>
        <v>36.00852410679748</v>
      </c>
      <c r="T194" s="54">
        <f>-T174*(T132-T67)+(T175+$M$7*$I$10)*(T130-T65)-T189*(T92-T67)+T190*(T91-T65)+T176</f>
        <v>37.828367488143975</v>
      </c>
      <c r="U194" s="54">
        <f>-U174*(U132-U67)+(U175+$M$7*$I$10)*(U130-U65)-U189*(U92-U67)+U190*(U91-U65)+U176</f>
        <v>39.80983467329969</v>
      </c>
      <c r="V194" s="54">
        <f>-V174*(V132-V67)+(V175+$M$7*$I$10)*(V130-V65)-V189*(V92-V67)+V190*(V91-V65)+V176</f>
        <v>41.46519633733177</v>
      </c>
      <c r="W194" s="54">
        <f>-W174*(W132-W67)+(W175+$M$7*$I$10)*(W130-W65)-W189*(W92-W67)+W190*(W91-W65)+W176</f>
        <v>42.42183059922641</v>
      </c>
      <c r="X194" s="54">
        <f>-X174*(X132-X67)+(X175+$M$7*$I$10)*(X130-X65)-X189*(X92-X67)+X190*(X91-X65)+X176</f>
        <v>42.53619078521623</v>
      </c>
      <c r="Y194" s="54">
        <f>-Y174*(Y132-Y67)+(Y175+$M$7*$I$10)*(Y130-Y65)-Y189*(Y92-Y67)+Y190*(Y91-Y65)+Y176</f>
        <v>41.90847962988587</v>
      </c>
      <c r="Z194" s="54">
        <f>-Z174*(Z132-Z67)+(Z175+$M$7*$I$10)*(Z130-Z65)-Z189*(Z92-Z67)+Z190*(Z91-Z65)+Z176</f>
        <v>40.81346005283623</v>
      </c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  <c r="FI194" s="69"/>
      <c r="FJ194" s="69"/>
      <c r="FK194" s="69"/>
      <c r="FL194" s="69"/>
      <c r="FM194" s="69"/>
      <c r="FN194" s="69"/>
      <c r="FO194" s="69"/>
      <c r="FP194" s="69"/>
      <c r="FQ194" s="69"/>
      <c r="FR194" s="69"/>
      <c r="FS194" s="69"/>
      <c r="FT194" s="69"/>
      <c r="FU194" s="69"/>
      <c r="FV194" s="69"/>
      <c r="FW194" s="69"/>
      <c r="FX194" s="69"/>
      <c r="FY194" s="69"/>
      <c r="FZ194" s="69"/>
      <c r="GA194" s="69"/>
      <c r="GB194" s="69"/>
      <c r="GC194" s="69"/>
      <c r="GD194" s="69"/>
      <c r="GE194" s="69"/>
      <c r="GF194" s="69"/>
      <c r="GG194" s="69"/>
      <c r="GH194" s="69"/>
      <c r="GI194" s="69"/>
      <c r="GJ194" s="69"/>
      <c r="GK194" s="69"/>
      <c r="GL194" s="69"/>
      <c r="GM194" s="69"/>
      <c r="GN194" s="69"/>
      <c r="GO194" s="69"/>
      <c r="GP194" s="69"/>
      <c r="GQ194" s="69"/>
      <c r="GR194" s="69"/>
      <c r="GS194" s="69"/>
      <c r="GT194" s="69"/>
      <c r="GU194" s="69"/>
      <c r="GV194" s="69"/>
      <c r="GW194" s="69"/>
      <c r="GX194" s="69"/>
      <c r="GY194" s="69"/>
      <c r="GZ194" s="69"/>
      <c r="HA194" s="69"/>
      <c r="HB194" s="69"/>
      <c r="HC194" s="69"/>
      <c r="HD194" s="69"/>
      <c r="HE194" s="69"/>
      <c r="HF194" s="69"/>
      <c r="HG194" s="69"/>
      <c r="HH194" s="69"/>
      <c r="HI194" s="69"/>
      <c r="HJ194" s="69"/>
      <c r="HK194" s="69"/>
      <c r="HL194" s="69"/>
      <c r="HM194" s="69"/>
      <c r="HN194" s="69"/>
      <c r="HO194" s="69"/>
      <c r="HP194" s="69"/>
      <c r="HQ194" s="69"/>
      <c r="HR194" s="69"/>
      <c r="HS194" s="69"/>
      <c r="HT194" s="69"/>
      <c r="HU194" s="69"/>
      <c r="HV194" s="69"/>
      <c r="HW194" s="69"/>
      <c r="HX194" s="69"/>
      <c r="HY194" s="69"/>
      <c r="HZ194" s="69"/>
      <c r="IA194" s="69"/>
      <c r="IB194" s="69"/>
      <c r="IC194" s="69"/>
      <c r="ID194" s="69"/>
      <c r="IE194" s="69"/>
      <c r="IF194" s="69"/>
      <c r="IG194" s="69"/>
      <c r="IH194" s="69"/>
      <c r="II194" s="69"/>
      <c r="IJ194" s="69"/>
      <c r="IK194" s="69"/>
      <c r="IL194" s="69"/>
      <c r="IM194" s="69"/>
      <c r="IN194" s="69"/>
      <c r="IO194" s="69"/>
      <c r="IP194" s="69"/>
      <c r="IQ194" s="69"/>
      <c r="IR194" s="69"/>
      <c r="IS194" s="69"/>
      <c r="IT194" s="69"/>
      <c r="IU194" s="69"/>
      <c r="IV194" s="69"/>
    </row>
    <row r="195" spans="1:256" ht="12.75">
      <c r="A195" s="25" t="s">
        <v>222</v>
      </c>
      <c r="B195" s="31">
        <f>B192*B68+B193*B69+B194*B82-B177-B179</f>
        <v>1.5265566588595902E-16</v>
      </c>
      <c r="C195" s="31">
        <f>C192*C68+C193*C69+C194*C82-C177-C179</f>
        <v>0</v>
      </c>
      <c r="D195" s="31">
        <f>D192*D68+D193*D69+D194*D82-D177-D179</f>
        <v>-9.992007221626409E-16</v>
      </c>
      <c r="E195" s="31">
        <f>E192*E68+E193*E69+E194*E82-E177-E179</f>
        <v>0</v>
      </c>
      <c r="F195" s="31">
        <f>F192*F68+F193*F69+F194*F82-F177-F179</f>
        <v>0</v>
      </c>
      <c r="G195" s="31">
        <f>G192*G68+G193*G69+G194*G82-G177-G179</f>
        <v>0</v>
      </c>
      <c r="H195" s="31">
        <f>H192*H68+H193*H69+H194*H82-H177-H179</f>
        <v>0</v>
      </c>
      <c r="I195" s="31">
        <f>I192*I68+I193*I69+I194*I82-I177-I179</f>
        <v>-9.43689570931383E-16</v>
      </c>
      <c r="J195" s="31">
        <f>J192*J68+J193*J69+J194*J82-J177-J179</f>
        <v>-3.1086244689504383E-15</v>
      </c>
      <c r="K195" s="31">
        <f>K192*K68+K193*K69+K194*K82-K177-K179</f>
        <v>0</v>
      </c>
      <c r="L195" s="31">
        <f>L192*L68+L193*L69+L194*L82-L177-L179</f>
        <v>0</v>
      </c>
      <c r="M195" s="31">
        <f>M192*M68+M193*M69+M194*M82-M177-M179</f>
        <v>0</v>
      </c>
      <c r="N195" s="31">
        <f>N192*N68+N193*N69+N194*N82-N177-N179</f>
        <v>0</v>
      </c>
      <c r="O195" s="31">
        <f>O192*O68+O193*O69+O194*O82-O177-O179</f>
        <v>0</v>
      </c>
      <c r="P195" s="31">
        <f>P192*P68+P193*P69+P194*P82-P177-P179</f>
        <v>0</v>
      </c>
      <c r="Q195" s="31">
        <f>Q192*Q68+Q193*Q69+Q194*Q82-Q177-Q179</f>
        <v>0</v>
      </c>
      <c r="R195" s="31">
        <f>R192*R68+R193*R69+R194*R82-R177-R179</f>
        <v>0</v>
      </c>
      <c r="S195" s="31">
        <f>S192*S68+S193*S69+S194*S82-S177-S179</f>
        <v>0</v>
      </c>
      <c r="T195" s="31">
        <f>T192*T68+T193*T69+T194*T82-T177-T179</f>
        <v>0</v>
      </c>
      <c r="U195" s="31">
        <f>U192*U68+U193*U69+U194*U82-U177-U179</f>
        <v>0</v>
      </c>
      <c r="V195" s="31">
        <f>V192*V68+V193*V69+V194*V82-V177-V179</f>
        <v>0</v>
      </c>
      <c r="W195" s="31">
        <f>W192*W68+W193*W69+W194*W82-W177-W179</f>
        <v>0</v>
      </c>
      <c r="X195" s="31">
        <f>X192*X68+X193*X69+X194*X82-X177-X179</f>
        <v>0</v>
      </c>
      <c r="Y195" s="31">
        <f>Y192*Y68+Y193*Y69+Y194*Y82-Y177-Y179</f>
        <v>0</v>
      </c>
      <c r="Z195" s="31">
        <f>Z192*Z68+Z193*Z69+Z194*Z82-Z177-Z179</f>
        <v>1.3877787807814457E-16</v>
      </c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28"/>
      <c r="ID195" s="28"/>
      <c r="IE195" s="28"/>
      <c r="IF195" s="28"/>
      <c r="IG195" s="28"/>
      <c r="IH195" s="28"/>
      <c r="II195" s="28"/>
      <c r="IJ195" s="28"/>
      <c r="IK195" s="28"/>
      <c r="IL195" s="28"/>
      <c r="IM195" s="28"/>
      <c r="IN195" s="28"/>
      <c r="IO195" s="28"/>
      <c r="IP195" s="28"/>
      <c r="IQ195" s="28"/>
      <c r="IR195" s="28"/>
      <c r="IS195" s="28"/>
      <c r="IT195" s="28"/>
      <c r="IU195" s="28"/>
      <c r="IV195" s="28"/>
    </row>
    <row r="196" spans="1:256" ht="12.75">
      <c r="A196" s="25" t="s">
        <v>225</v>
      </c>
      <c r="B196" s="31">
        <f>$M$5*$I$10</f>
        <v>9.81</v>
      </c>
      <c r="C196" s="31"/>
      <c r="D196" s="31"/>
      <c r="E196" s="31"/>
      <c r="F196" s="31"/>
      <c r="G196" s="31" t="s">
        <v>227</v>
      </c>
      <c r="H196" s="31"/>
      <c r="I196" s="31"/>
      <c r="J196" s="31"/>
      <c r="K196" s="31"/>
      <c r="L196" s="31"/>
      <c r="M196" s="31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  <c r="IT196" s="24"/>
      <c r="IU196" s="24"/>
      <c r="IV196" s="24"/>
    </row>
    <row r="197" spans="1:256" ht="12.75">
      <c r="A197" s="25" t="s">
        <v>185</v>
      </c>
      <c r="B197" s="31">
        <f>B194*B82/B41</f>
        <v>71.42355509246339</v>
      </c>
      <c r="C197" s="31">
        <f>C194*C82/C41</f>
        <v>64.63298243405958</v>
      </c>
      <c r="D197" s="31">
        <f>D194*D82/D41</f>
        <v>60.10511656946684</v>
      </c>
      <c r="E197" s="31">
        <f>E194*E82/E41</f>
        <v>57.92634750287282</v>
      </c>
      <c r="F197" s="31">
        <f>F194*F82/F41</f>
        <v>58.08344977583944</v>
      </c>
      <c r="G197" s="31">
        <f>G194*G82/G41</f>
        <v>60.54888425829758</v>
      </c>
      <c r="H197" s="31">
        <f>H194*H82/H41</f>
        <v>65.3106564612671</v>
      </c>
      <c r="I197" s="31">
        <f>I194*I82/I41</f>
        <v>72.32391438769372</v>
      </c>
      <c r="J197" s="31">
        <f>J194*J82/J41</f>
        <v>81.34977966116145</v>
      </c>
      <c r="K197" s="31">
        <f>K194*K82/K41</f>
        <v>91.68204510817472</v>
      </c>
      <c r="L197" s="31">
        <f>L194*L82/L41</f>
        <v>101.91669928777017</v>
      </c>
      <c r="M197" s="31">
        <f>M194*M82/M41</f>
        <v>110.16275031684256</v>
      </c>
      <c r="N197" s="31">
        <f>N194*N82/N41</f>
        <v>114.98940852532274</v>
      </c>
      <c r="O197" s="31">
        <f>O194*O82/O41</f>
        <v>116.49500512644505</v>
      </c>
      <c r="P197" s="31">
        <f>P194*P82/P41</f>
        <v>116.23417538076338</v>
      </c>
      <c r="Q197" s="31">
        <f>Q194*Q82/Q41</f>
        <v>115.94085417163073</v>
      </c>
      <c r="R197" s="31">
        <f>R194*R82/R41</f>
        <v>116.38620890791074</v>
      </c>
      <c r="S197" s="31">
        <f>S194*S82/S41</f>
        <v>117.13335571088076</v>
      </c>
      <c r="T197" s="31">
        <f>T194*T82/T41</f>
        <v>116.9161571880291</v>
      </c>
      <c r="U197" s="31">
        <f>U194*U82/U41</f>
        <v>114.32435383275222</v>
      </c>
      <c r="V197" s="31">
        <f>V194*V82/V41</f>
        <v>108.59862375808399</v>
      </c>
      <c r="W197" s="31">
        <f>W194*W82/W41</f>
        <v>100.10454611354281</v>
      </c>
      <c r="X197" s="31">
        <f>X194*X82/X41</f>
        <v>90.11827022443818</v>
      </c>
      <c r="Y197" s="31">
        <f>Y194*Y82/Y41</f>
        <v>80.15702485173098</v>
      </c>
      <c r="Z197" s="31">
        <f>Z194*Z82/Z41</f>
        <v>71.42355509246339</v>
      </c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  <c r="IQ197" s="28"/>
      <c r="IR197" s="28"/>
      <c r="IS197" s="28"/>
      <c r="IT197" s="28"/>
      <c r="IU197" s="28"/>
      <c r="IV197" s="28"/>
    </row>
    <row r="198" spans="1:256" ht="12.75">
      <c r="A198" s="24" t="s">
        <v>179</v>
      </c>
      <c r="B198" s="54">
        <f>B158*((B117-$D$4)/(B51-$D$4))+B192*((B67-$D$4)/(B51-$D$4))</f>
        <v>-0.10497732013689601</v>
      </c>
      <c r="C198" s="54">
        <f>C158*((C117-$D$4)/(C51-$D$4))+C192*((C67-$D$4)/(C51-$D$4))</f>
        <v>-0.1746696050925728</v>
      </c>
      <c r="D198" s="54">
        <f>D158*((D117-$D$4)/(D51-$D$4))+D192*((D67-$D$4)/(D51-$D$4))</f>
        <v>-0.22694977711628245</v>
      </c>
      <c r="E198" s="54">
        <f>E158*((E117-$D$4)/(E51-$D$4))+E192*((E67-$D$4)/(E51-$D$4))</f>
        <v>-0.2533334920043119</v>
      </c>
      <c r="F198" s="54">
        <f>F158*((F117-$D$4)/(F51-$D$4))+F192*((F67-$D$4)/(F51-$D$4))</f>
        <v>-0.2490563112464098</v>
      </c>
      <c r="G198" s="54">
        <f>G158*((G117-$D$4)/(G51-$D$4))+G192*((G67-$D$4)/(G51-$D$4))</f>
        <v>-0.21698251937640772</v>
      </c>
      <c r="H198" s="54">
        <f>H158*((H117-$D$4)/(H51-$D$4))+H192*((H67-$D$4)/(H51-$D$4))</f>
        <v>-0.16517316002241053</v>
      </c>
      <c r="I198" s="54">
        <f>I158*((I117-$D$4)/(I51-$D$4))+I192*((I67-$D$4)/(I51-$D$4))</f>
        <v>-0.10041413139306761</v>
      </c>
      <c r="J198" s="54">
        <f>J158*((J117-$D$4)/(J51-$D$4))+J192*((J67-$D$4)/(J51-$D$4))</f>
        <v>-0.022989466950576853</v>
      </c>
      <c r="K198" s="54">
        <f>K158*((K117-$D$4)/(K51-$D$4))+K192*((K67-$D$4)/(K51-$D$4))</f>
        <v>0.07116441846966871</v>
      </c>
      <c r="L198" s="54">
        <f>L158*((L117-$D$4)/(L51-$D$4))+L192*((L67-$D$4)/(L51-$D$4))</f>
        <v>0.17659558522083751</v>
      </c>
      <c r="M198" s="54">
        <f>M158*((M117-$D$4)/(M51-$D$4))+M192*((M67-$D$4)/(M51-$D$4))</f>
        <v>0.2605929805761993</v>
      </c>
      <c r="N198" s="54">
        <f>N158*((N117-$D$4)/(N51-$D$4))+N192*((N67-$D$4)/(N51-$D$4))</f>
        <v>0.27071417002698134</v>
      </c>
      <c r="O198" s="54">
        <f>O158*((O117-$D$4)/(O51-$D$4))+O192*((O67-$D$4)/(O51-$D$4))</f>
        <v>0.1850718010601229</v>
      </c>
      <c r="P198" s="54">
        <f>P158*((P117-$D$4)/(P51-$D$4))+P192*((P67-$D$4)/(P51-$D$4))</f>
        <v>0.054415806196620495</v>
      </c>
      <c r="Q198" s="54">
        <f>Q158*((Q117-$D$4)/(Q51-$D$4))+Q192*((Q67-$D$4)/(Q51-$D$4))</f>
        <v>-0.030408869017683</v>
      </c>
      <c r="R198" s="54">
        <f>R158*((R117-$D$4)/(R51-$D$4))+R192*((R67-$D$4)/(R51-$D$4))</f>
        <v>-0.014219831547317707</v>
      </c>
      <c r="S198" s="54">
        <f>S158*((S117-$D$4)/(S51-$D$4))+S192*((S67-$D$4)/(S51-$D$4))</f>
        <v>0.08477353337794777</v>
      </c>
      <c r="T198" s="54">
        <f>T158*((T117-$D$4)/(T51-$D$4))+T192*((T67-$D$4)/(T51-$D$4))</f>
        <v>0.19750308375854608</v>
      </c>
      <c r="U198" s="54">
        <f>U158*((U117-$D$4)/(U51-$D$4))+U192*((U67-$D$4)/(U51-$D$4))</f>
        <v>0.256562285156834</v>
      </c>
      <c r="V198" s="54">
        <f>V158*((V117-$D$4)/(V51-$D$4))+V192*((V67-$D$4)/(V51-$D$4))</f>
        <v>0.2379364326861829</v>
      </c>
      <c r="W198" s="54">
        <f>W158*((W117-$D$4)/(W51-$D$4))+W192*((W67-$D$4)/(W51-$D$4))</f>
        <v>0.16302756652025635</v>
      </c>
      <c r="X198" s="54">
        <f>X158*((X117-$D$4)/(X51-$D$4))+X192*((X67-$D$4)/(X51-$D$4))</f>
        <v>0.06809451356254508</v>
      </c>
      <c r="Y198" s="54">
        <f>Y158*((Y117-$D$4)/(Y51-$D$4))+Y192*((Y67-$D$4)/(Y51-$D$4))</f>
        <v>-0.023493422420767508</v>
      </c>
      <c r="Z198" s="54">
        <f>Z158*((Z117-$D$4)/(Z51-$D$4))+Z192*((Z67-$D$4)/(Z51-$D$4))</f>
        <v>-0.10497732013689602</v>
      </c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  <c r="FC198" s="69"/>
      <c r="FD198" s="69"/>
      <c r="FE198" s="69"/>
      <c r="FF198" s="69"/>
      <c r="FG198" s="69"/>
      <c r="FH198" s="69"/>
      <c r="FI198" s="69"/>
      <c r="FJ198" s="69"/>
      <c r="FK198" s="69"/>
      <c r="FL198" s="69"/>
      <c r="FM198" s="69"/>
      <c r="FN198" s="69"/>
      <c r="FO198" s="69"/>
      <c r="FP198" s="69"/>
      <c r="FQ198" s="69"/>
      <c r="FR198" s="69"/>
      <c r="FS198" s="69"/>
      <c r="FT198" s="69"/>
      <c r="FU198" s="69"/>
      <c r="FV198" s="69"/>
      <c r="FW198" s="69"/>
      <c r="FX198" s="69"/>
      <c r="FY198" s="69"/>
      <c r="FZ198" s="69"/>
      <c r="GA198" s="69"/>
      <c r="GB198" s="69"/>
      <c r="GC198" s="69"/>
      <c r="GD198" s="69"/>
      <c r="GE198" s="69"/>
      <c r="GF198" s="69"/>
      <c r="GG198" s="69"/>
      <c r="GH198" s="69"/>
      <c r="GI198" s="69"/>
      <c r="GJ198" s="69"/>
      <c r="GK198" s="69"/>
      <c r="GL198" s="69"/>
      <c r="GM198" s="69"/>
      <c r="GN198" s="69"/>
      <c r="GO198" s="69"/>
      <c r="GP198" s="69"/>
      <c r="GQ198" s="69"/>
      <c r="GR198" s="69"/>
      <c r="GS198" s="69"/>
      <c r="GT198" s="69"/>
      <c r="GU198" s="69"/>
      <c r="GV198" s="69"/>
      <c r="GW198" s="69"/>
      <c r="GX198" s="69"/>
      <c r="GY198" s="69"/>
      <c r="GZ198" s="69"/>
      <c r="HA198" s="69"/>
      <c r="HB198" s="69"/>
      <c r="HC198" s="69"/>
      <c r="HD198" s="69"/>
      <c r="HE198" s="69"/>
      <c r="HF198" s="69"/>
      <c r="HG198" s="69"/>
      <c r="HH198" s="69"/>
      <c r="HI198" s="69"/>
      <c r="HJ198" s="69"/>
      <c r="HK198" s="69"/>
      <c r="HL198" s="69"/>
      <c r="HM198" s="69"/>
      <c r="HN198" s="69"/>
      <c r="HO198" s="69"/>
      <c r="HP198" s="69"/>
      <c r="HQ198" s="69"/>
      <c r="HR198" s="69"/>
      <c r="HS198" s="69"/>
      <c r="HT198" s="69"/>
      <c r="HU198" s="69"/>
      <c r="HV198" s="69"/>
      <c r="HW198" s="69"/>
      <c r="HX198" s="69"/>
      <c r="HY198" s="69"/>
      <c r="HZ198" s="69"/>
      <c r="IA198" s="69"/>
      <c r="IB198" s="69"/>
      <c r="IC198" s="69"/>
      <c r="ID198" s="69"/>
      <c r="IE198" s="69"/>
      <c r="IF198" s="69"/>
      <c r="IG198" s="69"/>
      <c r="IH198" s="69"/>
      <c r="II198" s="69"/>
      <c r="IJ198" s="69"/>
      <c r="IK198" s="69"/>
      <c r="IL198" s="69"/>
      <c r="IM198" s="69"/>
      <c r="IN198" s="69"/>
      <c r="IO198" s="69"/>
      <c r="IP198" s="69"/>
      <c r="IQ198" s="69"/>
      <c r="IR198" s="69"/>
      <c r="IS198" s="69"/>
      <c r="IT198" s="69"/>
      <c r="IU198" s="69"/>
      <c r="IV198" s="69"/>
    </row>
    <row r="199" spans="1:256" ht="12.75">
      <c r="A199" s="24" t="s">
        <v>180</v>
      </c>
      <c r="B199" s="54">
        <f>(B159+$B$196)*((B116-$D$3)/(B50-$D$3))+B193*((B65-$D$3)/(B50-$D$3))</f>
        <v>17.864418215574595</v>
      </c>
      <c r="C199" s="54">
        <f>(C159+$B$196)*((C116-$D$3)/(C50-$D$3))+C193*((C65-$D$3)/(C50-$D$3))</f>
        <v>17.80549876245014</v>
      </c>
      <c r="D199" s="54">
        <f>(D159+$B$196)*((D116-$D$3)/(D50-$D$3))+D193*((D65-$D$3)/(D50-$D$3))</f>
        <v>17.734040855189278</v>
      </c>
      <c r="E199" s="54">
        <f>(E159+$B$196)*((E116-$D$3)/(E50-$D$3))+E193*((E65-$D$3)/(E50-$D$3))</f>
        <v>17.694009104132274</v>
      </c>
      <c r="F199" s="54">
        <f>(F159+$B$196)*((F116-$D$3)/(F50-$D$3))+F193*((F65-$D$3)/(F50-$D$3))</f>
        <v>17.701428719223895</v>
      </c>
      <c r="G199" s="54">
        <f>(G159+$B$196)*((G116-$D$3)/(G50-$D$3))+G193*((G65-$D$3)/(G50-$D$3))</f>
        <v>17.749030380360708</v>
      </c>
      <c r="H199" s="54">
        <f>(H159+$B$196)*((H116-$D$3)/(H50-$D$3))+H193*((H65-$D$3)/(H50-$D$3))</f>
        <v>17.81394112848867</v>
      </c>
      <c r="I199" s="54">
        <f>(I159+$B$196)*((I116-$D$3)/(I50-$D$3))+I193*((I65-$D$3)/(I50-$D$3))</f>
        <v>17.860314449298542</v>
      </c>
      <c r="J199" s="54">
        <f>(J159+$B$196)*((J116-$D$3)/(J50-$D$3))+J193*((J65-$D$3)/(J50-$D$3))</f>
        <v>17.837594495007828</v>
      </c>
      <c r="K199" s="54">
        <f>(K159+$B$196)*((K116-$D$3)/(K50-$D$3))+K193*((K65-$D$3)/(K50-$D$3))</f>
        <v>17.684608844469437</v>
      </c>
      <c r="L199" s="54">
        <f>(L159+$B$196)*((L116-$D$3)/(L50-$D$3))+L193*((L65-$D$3)/(L50-$D$3))</f>
        <v>17.353910055404874</v>
      </c>
      <c r="M199" s="54">
        <f>(M159+$B$196)*((M116-$D$3)/(M50-$D$3))+M193*((M65-$D$3)/(M50-$D$3))</f>
        <v>16.857070188374156</v>
      </c>
      <c r="N199" s="54">
        <f>(N159+$B$196)*((N116-$D$3)/(N50-$D$3))+N193*((N65-$D$3)/(N50-$D$3))</f>
        <v>16.2926025698237</v>
      </c>
      <c r="O199" s="54">
        <f>(O159+$B$196)*((O116-$D$3)/(O50-$D$3))+O193*((O65-$D$3)/(O50-$D$3))</f>
        <v>15.803256018268174</v>
      </c>
      <c r="P199" s="54">
        <f>(P159+$B$196)*((P116-$D$3)/(P50-$D$3))+P193*((P65-$D$3)/(P50-$D$3))</f>
        <v>15.486737333737247</v>
      </c>
      <c r="Q199" s="54">
        <f>(Q159+$B$196)*((Q116-$D$3)/(Q50-$D$3))+Q193*((Q65-$D$3)/(Q50-$D$3))</f>
        <v>15.35897050942808</v>
      </c>
      <c r="R199" s="54">
        <f>(R159+$B$196)*((R116-$D$3)/(R50-$D$3))+R193*((R65-$D$3)/(R50-$D$3))</f>
        <v>15.397279318282116</v>
      </c>
      <c r="S199" s="54">
        <f>(S159+$B$196)*((S116-$D$3)/(S50-$D$3))+S193*((S65-$D$3)/(S50-$D$3))</f>
        <v>15.589491097406057</v>
      </c>
      <c r="T199" s="54">
        <f>(T159+$B$196)*((T116-$D$3)/(T50-$D$3))+T193*((T65-$D$3)/(T50-$D$3))</f>
        <v>15.93326336130124</v>
      </c>
      <c r="U199" s="54">
        <f>(U159+$B$196)*((U116-$D$3)/(U50-$D$3))+U193*((U65-$D$3)/(U50-$D$3))</f>
        <v>16.400420300204633</v>
      </c>
      <c r="V199" s="54">
        <f>(V159+$B$196)*((V116-$D$3)/(V50-$D$3))+V193*((V65-$D$3)/(V50-$D$3))</f>
        <v>16.914606084551554</v>
      </c>
      <c r="W199" s="54">
        <f>(W159+$B$196)*((W116-$D$3)/(W50-$D$3))+W193*((W65-$D$3)/(W50-$D$3))</f>
        <v>17.372643278682727</v>
      </c>
      <c r="X199" s="54">
        <f>(X159+$B$196)*((X116-$D$3)/(X50-$D$3))+X193*((X65-$D$3)/(X50-$D$3))</f>
        <v>17.692510912956628</v>
      </c>
      <c r="Y199" s="54">
        <f>(Y159+$B$196)*((Y116-$D$3)/(Y50-$D$3))+Y193*((Y65-$D$3)/(Y50-$D$3))</f>
        <v>17.847022396019508</v>
      </c>
      <c r="Z199" s="54">
        <f>(Z159+$B$196)*((Z116-$D$3)/(Z50-$D$3))+Z193*((Z65-$D$3)/(Z50-$D$3))</f>
        <v>17.864418215574595</v>
      </c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  <c r="FC199" s="69"/>
      <c r="FD199" s="69"/>
      <c r="FE199" s="69"/>
      <c r="FF199" s="69"/>
      <c r="FG199" s="69"/>
      <c r="FH199" s="69"/>
      <c r="FI199" s="69"/>
      <c r="FJ199" s="69"/>
      <c r="FK199" s="69"/>
      <c r="FL199" s="69"/>
      <c r="FM199" s="69"/>
      <c r="FN199" s="69"/>
      <c r="FO199" s="69"/>
      <c r="FP199" s="69"/>
      <c r="FQ199" s="69"/>
      <c r="FR199" s="69"/>
      <c r="FS199" s="69"/>
      <c r="FT199" s="69"/>
      <c r="FU199" s="69"/>
      <c r="FV199" s="69"/>
      <c r="FW199" s="69"/>
      <c r="FX199" s="69"/>
      <c r="FY199" s="69"/>
      <c r="FZ199" s="69"/>
      <c r="GA199" s="69"/>
      <c r="GB199" s="69"/>
      <c r="GC199" s="69"/>
      <c r="GD199" s="69"/>
      <c r="GE199" s="69"/>
      <c r="GF199" s="69"/>
      <c r="GG199" s="69"/>
      <c r="GH199" s="69"/>
      <c r="GI199" s="69"/>
      <c r="GJ199" s="69"/>
      <c r="GK199" s="69"/>
      <c r="GL199" s="69"/>
      <c r="GM199" s="69"/>
      <c r="GN199" s="69"/>
      <c r="GO199" s="69"/>
      <c r="GP199" s="69"/>
      <c r="GQ199" s="69"/>
      <c r="GR199" s="69"/>
      <c r="GS199" s="69"/>
      <c r="GT199" s="69"/>
      <c r="GU199" s="69"/>
      <c r="GV199" s="69"/>
      <c r="GW199" s="69"/>
      <c r="GX199" s="69"/>
      <c r="GY199" s="69"/>
      <c r="GZ199" s="69"/>
      <c r="HA199" s="69"/>
      <c r="HB199" s="69"/>
      <c r="HC199" s="69"/>
      <c r="HD199" s="69"/>
      <c r="HE199" s="69"/>
      <c r="HF199" s="69"/>
      <c r="HG199" s="69"/>
      <c r="HH199" s="69"/>
      <c r="HI199" s="69"/>
      <c r="HJ199" s="69"/>
      <c r="HK199" s="69"/>
      <c r="HL199" s="69"/>
      <c r="HM199" s="69"/>
      <c r="HN199" s="69"/>
      <c r="HO199" s="69"/>
      <c r="HP199" s="69"/>
      <c r="HQ199" s="69"/>
      <c r="HR199" s="69"/>
      <c r="HS199" s="69"/>
      <c r="HT199" s="69"/>
      <c r="HU199" s="69"/>
      <c r="HV199" s="69"/>
      <c r="HW199" s="69"/>
      <c r="HX199" s="69"/>
      <c r="HY199" s="69"/>
      <c r="HZ199" s="69"/>
      <c r="IA199" s="69"/>
      <c r="IB199" s="69"/>
      <c r="IC199" s="69"/>
      <c r="ID199" s="69"/>
      <c r="IE199" s="69"/>
      <c r="IF199" s="69"/>
      <c r="IG199" s="69"/>
      <c r="IH199" s="69"/>
      <c r="II199" s="69"/>
      <c r="IJ199" s="69"/>
      <c r="IK199" s="69"/>
      <c r="IL199" s="69"/>
      <c r="IM199" s="69"/>
      <c r="IN199" s="69"/>
      <c r="IO199" s="69"/>
      <c r="IP199" s="69"/>
      <c r="IQ199" s="69"/>
      <c r="IR199" s="69"/>
      <c r="IS199" s="69"/>
      <c r="IT199" s="69"/>
      <c r="IU199" s="69"/>
      <c r="IV199" s="69"/>
    </row>
    <row r="200" spans="1:256" ht="12.75">
      <c r="A200" s="25" t="s">
        <v>184</v>
      </c>
      <c r="B200" s="54">
        <f>B160+B197</f>
        <v>71.50630370847314</v>
      </c>
      <c r="C200" s="54">
        <f>C160+C197</f>
        <v>64.75429343866824</v>
      </c>
      <c r="D200" s="54">
        <f>D160+D197</f>
        <v>60.25459940072</v>
      </c>
      <c r="E200" s="54">
        <f>E160+E197</f>
        <v>58.08929534217626</v>
      </c>
      <c r="F200" s="54">
        <f>F160+F197</f>
        <v>58.24392384367944</v>
      </c>
      <c r="G200" s="54">
        <f>G160+G197</f>
        <v>60.692540121379544</v>
      </c>
      <c r="H200" s="54">
        <f>H160+H197</f>
        <v>65.42638698375107</v>
      </c>
      <c r="I200" s="54">
        <f>I160+I197</f>
        <v>72.40429172937493</v>
      </c>
      <c r="J200" s="54">
        <f>J160+J197</f>
        <v>81.39082375695754</v>
      </c>
      <c r="K200" s="54">
        <f>K160+K197</f>
        <v>91.68286885923266</v>
      </c>
      <c r="L200" s="54">
        <f>L160+L197</f>
        <v>101.87929722545442</v>
      </c>
      <c r="M200" s="54">
        <f>M160+M197</f>
        <v>110.09184833185232</v>
      </c>
      <c r="N200" s="54">
        <f>N160+N197</f>
        <v>114.89206361420943</v>
      </c>
      <c r="O200" s="54">
        <f>O160+O197</f>
        <v>116.37969916150456</v>
      </c>
      <c r="P200" s="54">
        <f>P160+P197</f>
        <v>116.10950797971604</v>
      </c>
      <c r="Q200" s="54">
        <f>Q160+Q197</f>
        <v>115.81432993152293</v>
      </c>
      <c r="R200" s="54">
        <f>R160+R197</f>
        <v>116.26365288428303</v>
      </c>
      <c r="S200" s="54">
        <f>S160+S197</f>
        <v>117.01914148438328</v>
      </c>
      <c r="T200" s="54">
        <f>T160+T197</f>
        <v>116.81403012131652</v>
      </c>
      <c r="U200" s="54">
        <f>U160+U197</f>
        <v>114.23844371585582</v>
      </c>
      <c r="V200" s="54">
        <f>V160+V197</f>
        <v>108.53422899290187</v>
      </c>
      <c r="W200" s="54">
        <f>W160+W197</f>
        <v>100.06829103587316</v>
      </c>
      <c r="X200" s="54">
        <f>X160+X197</f>
        <v>90.11728232095199</v>
      </c>
      <c r="Y200" s="54">
        <f>Y160+Y197</f>
        <v>80.19702066320185</v>
      </c>
      <c r="Z200" s="54">
        <f>Z160+Z197</f>
        <v>71.50630370847314</v>
      </c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  <c r="FI200" s="69"/>
      <c r="FJ200" s="69"/>
      <c r="FK200" s="69"/>
      <c r="FL200" s="69"/>
      <c r="FM200" s="69"/>
      <c r="FN200" s="69"/>
      <c r="FO200" s="69"/>
      <c r="FP200" s="69"/>
      <c r="FQ200" s="69"/>
      <c r="FR200" s="69"/>
      <c r="FS200" s="69"/>
      <c r="FT200" s="69"/>
      <c r="FU200" s="69"/>
      <c r="FV200" s="69"/>
      <c r="FW200" s="69"/>
      <c r="FX200" s="69"/>
      <c r="FY200" s="69"/>
      <c r="FZ200" s="69"/>
      <c r="GA200" s="69"/>
      <c r="GB200" s="69"/>
      <c r="GC200" s="69"/>
      <c r="GD200" s="69"/>
      <c r="GE200" s="69"/>
      <c r="GF200" s="69"/>
      <c r="GG200" s="69"/>
      <c r="GH200" s="69"/>
      <c r="GI200" s="69"/>
      <c r="GJ200" s="69"/>
      <c r="GK200" s="69"/>
      <c r="GL200" s="69"/>
      <c r="GM200" s="69"/>
      <c r="GN200" s="69"/>
      <c r="GO200" s="69"/>
      <c r="GP200" s="69"/>
      <c r="GQ200" s="69"/>
      <c r="GR200" s="69"/>
      <c r="GS200" s="69"/>
      <c r="GT200" s="69"/>
      <c r="GU200" s="69"/>
      <c r="GV200" s="69"/>
      <c r="GW200" s="69"/>
      <c r="GX200" s="69"/>
      <c r="GY200" s="69"/>
      <c r="GZ200" s="69"/>
      <c r="HA200" s="69"/>
      <c r="HB200" s="69"/>
      <c r="HC200" s="69"/>
      <c r="HD200" s="69"/>
      <c r="HE200" s="69"/>
      <c r="HF200" s="69"/>
      <c r="HG200" s="69"/>
      <c r="HH200" s="69"/>
      <c r="HI200" s="69"/>
      <c r="HJ200" s="69"/>
      <c r="HK200" s="69"/>
      <c r="HL200" s="69"/>
      <c r="HM200" s="69"/>
      <c r="HN200" s="69"/>
      <c r="HO200" s="69"/>
      <c r="HP200" s="69"/>
      <c r="HQ200" s="69"/>
      <c r="HR200" s="69"/>
      <c r="HS200" s="69"/>
      <c r="HT200" s="69"/>
      <c r="HU200" s="69"/>
      <c r="HV200" s="69"/>
      <c r="HW200" s="69"/>
      <c r="HX200" s="69"/>
      <c r="HY200" s="69"/>
      <c r="HZ200" s="69"/>
      <c r="IA200" s="69"/>
      <c r="IB200" s="69"/>
      <c r="IC200" s="69"/>
      <c r="ID200" s="69"/>
      <c r="IE200" s="69"/>
      <c r="IF200" s="69"/>
      <c r="IG200" s="69"/>
      <c r="IH200" s="69"/>
      <c r="II200" s="69"/>
      <c r="IJ200" s="69"/>
      <c r="IK200" s="69"/>
      <c r="IL200" s="69"/>
      <c r="IM200" s="69"/>
      <c r="IN200" s="69"/>
      <c r="IO200" s="69"/>
      <c r="IP200" s="69"/>
      <c r="IQ200" s="69"/>
      <c r="IR200" s="69"/>
      <c r="IS200" s="69"/>
      <c r="IT200" s="69"/>
      <c r="IU200" s="69"/>
      <c r="IV200" s="69"/>
    </row>
    <row r="201" spans="1:256" ht="12.75">
      <c r="A201" s="25" t="s">
        <v>226</v>
      </c>
      <c r="B201" s="31">
        <f>B198*B52+B199*B53+B200*B41-(B177+B179+B161+B162)</f>
        <v>5.329070518200751E-15</v>
      </c>
      <c r="C201" s="31">
        <f>C198*C52+C199*C53+C200*C41-(C177+C179+C161+C162)</f>
        <v>0</v>
      </c>
      <c r="D201" s="31">
        <f>D198*D52+D199*D53+D200*D41-(D177+D179+D161+D162)</f>
        <v>0</v>
      </c>
      <c r="E201" s="31">
        <f>E198*E52+E199*E53+E200*E41-(E177+E179+E161+E162)</f>
        <v>0</v>
      </c>
      <c r="F201" s="31">
        <f>F198*F52+F199*F53+F200*F41-(F177+F179+F161+F162)</f>
        <v>-1.1102230246251565E-15</v>
      </c>
      <c r="G201" s="31">
        <f>G198*G52+G199*G53+G200*G41-(G177+G179+G161+G162)</f>
        <v>0</v>
      </c>
      <c r="H201" s="31">
        <f>H198*H52+H199*H53+H200*H41-(H177+H179+H161+H162)</f>
        <v>0</v>
      </c>
      <c r="I201" s="31">
        <f>I198*I52+I199*I53+I200*I41-(I177+I179+I161+I162)</f>
        <v>0</v>
      </c>
      <c r="J201" s="31">
        <f>J198*J52+J199*J53+J200*J41-(J177+J179+J161+J162)</f>
        <v>-3.9968028886505635E-15</v>
      </c>
      <c r="K201" s="31">
        <f>K198*K52+K199*K53+K200*K41-(K177+K179+K161+K162)</f>
        <v>0</v>
      </c>
      <c r="L201" s="31">
        <f>L198*L52+L199*L53+L200*L41-(L177+L179+L161+L162)</f>
        <v>-8.881784197001252E-16</v>
      </c>
      <c r="M201" s="31">
        <f>M198*M52+M199*M53+M200*M41-(M177+M179+M161+M162)</f>
        <v>0</v>
      </c>
      <c r="N201" s="31">
        <f>N198*N52+N199*N53+N200*N41-(N177+N179+N161+N162)</f>
        <v>0</v>
      </c>
      <c r="O201" s="31">
        <f>O198*O52+O199*O53+O200*O41-(O177+O179+O161+O162)</f>
        <v>0</v>
      </c>
      <c r="P201" s="31">
        <f>P198*P52+P199*P53+P200*P41-(P177+P179+P161+P162)</f>
        <v>3.1086244689504383E-15</v>
      </c>
      <c r="Q201" s="31">
        <f>Q198*Q52+Q199*Q53+Q200*Q41-(Q177+Q179+Q161+Q162)</f>
        <v>-5.551115123125783E-15</v>
      </c>
      <c r="R201" s="31">
        <f>R198*R52+R199*R53+R200*R41-(R177+R179+R161+R162)</f>
        <v>-7.771561172376096E-16</v>
      </c>
      <c r="S201" s="31">
        <f>S198*S52+S199*S53+S200*S41-(S177+S179+S161+S162)</f>
        <v>1.2434497875801753E-14</v>
      </c>
      <c r="T201" s="31">
        <f>T198*T52+T199*T53+T200*T41-(T177+T179+T161+T162)</f>
        <v>-4.884981308350689E-15</v>
      </c>
      <c r="U201" s="31">
        <f>U198*U52+U199*U53+U200*U41-(U177+U179+U161+U162)</f>
        <v>0</v>
      </c>
      <c r="V201" s="31">
        <f>V198*V52+V199*V53+V200*V41-(V177+V179+V161+V162)</f>
        <v>7.105427357601002E-15</v>
      </c>
      <c r="W201" s="31">
        <f>W198*W52+W199*W53+W200*W41-(W177+W179+W161+W162)</f>
        <v>-1.7763568394002505E-15</v>
      </c>
      <c r="X201" s="31">
        <f>X198*X52+X199*X53+X200*X41-(X177+X179+X161+X162)</f>
        <v>0</v>
      </c>
      <c r="Y201" s="31">
        <f>Y198*Y52+Y199*Y53+Y200*Y41-(Y177+Y179+Y161+Y162)</f>
        <v>-3.552713678800501E-15</v>
      </c>
      <c r="Z201" s="31">
        <f>Z198*Z52+Z199*Z53+Z200*Z41-(Z177+Z179+Z161+Z162)</f>
        <v>3.9968028886505635E-15</v>
      </c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  <c r="HG201" s="28"/>
      <c r="HH201" s="28"/>
      <c r="HI201" s="28"/>
      <c r="HJ201" s="28"/>
      <c r="HK201" s="28"/>
      <c r="HL201" s="28"/>
      <c r="HM201" s="28"/>
      <c r="HN201" s="28"/>
      <c r="HO201" s="28"/>
      <c r="HP201" s="28"/>
      <c r="HQ201" s="28"/>
      <c r="HR201" s="28"/>
      <c r="HS201" s="28"/>
      <c r="HT201" s="28"/>
      <c r="HU201" s="28"/>
      <c r="HV201" s="28"/>
      <c r="HW201" s="28"/>
      <c r="HX201" s="28"/>
      <c r="HY201" s="28"/>
      <c r="HZ201" s="28"/>
      <c r="IA201" s="28"/>
      <c r="IB201" s="28"/>
      <c r="IC201" s="28"/>
      <c r="ID201" s="28"/>
      <c r="IE201" s="28"/>
      <c r="IF201" s="28"/>
      <c r="IG201" s="28"/>
      <c r="IH201" s="28"/>
      <c r="II201" s="28"/>
      <c r="IJ201" s="28"/>
      <c r="IK201" s="28"/>
      <c r="IL201" s="28"/>
      <c r="IM201" s="28"/>
      <c r="IN201" s="28"/>
      <c r="IO201" s="28"/>
      <c r="IP201" s="28"/>
      <c r="IQ201" s="28"/>
      <c r="IR201" s="28"/>
      <c r="IS201" s="28"/>
      <c r="IT201" s="28"/>
      <c r="IU201" s="28"/>
      <c r="IV201" s="28"/>
    </row>
    <row r="202" spans="1:256" ht="12.75">
      <c r="A202" s="25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24"/>
      <c r="IJ202" s="24"/>
      <c r="IK202" s="24"/>
      <c r="IL202" s="24"/>
      <c r="IM202" s="24"/>
      <c r="IN202" s="24"/>
      <c r="IO202" s="24"/>
      <c r="IP202" s="24"/>
      <c r="IQ202" s="24"/>
      <c r="IR202" s="24"/>
      <c r="IS202" s="24"/>
      <c r="IT202" s="24"/>
      <c r="IU202" s="24"/>
      <c r="IV202" s="24"/>
    </row>
    <row r="203" spans="1:256" ht="12.75">
      <c r="A203" s="24" t="s">
        <v>228</v>
      </c>
      <c r="B203" s="31">
        <f>M4*I10</f>
        <v>9.81</v>
      </c>
      <c r="C203" s="31"/>
      <c r="D203" s="31"/>
      <c r="E203" s="31"/>
      <c r="F203" s="31"/>
      <c r="G203" s="31" t="s">
        <v>186</v>
      </c>
      <c r="H203" s="31"/>
      <c r="I203" s="31"/>
      <c r="J203" s="31"/>
      <c r="K203" s="31"/>
      <c r="L203" s="31"/>
      <c r="M203" s="31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  <c r="IR203" s="24"/>
      <c r="IS203" s="24"/>
      <c r="IT203" s="24"/>
      <c r="IU203" s="24"/>
      <c r="IV203" s="24"/>
    </row>
    <row r="204" spans="1:256" ht="12.75">
      <c r="A204" s="25" t="s">
        <v>187</v>
      </c>
      <c r="B204" s="31">
        <f>B200*B41/B40</f>
        <v>95.09875278936791</v>
      </c>
      <c r="C204" s="31">
        <f>C200*C41/C40</f>
        <v>51.544509836069615</v>
      </c>
      <c r="D204" s="31">
        <f>D200*D41/D40</f>
        <v>26.232450213550173</v>
      </c>
      <c r="E204" s="31">
        <f>E200*E41/E40</f>
        <v>7.496384320608879</v>
      </c>
      <c r="F204" s="31">
        <f>F200*F41/F40</f>
        <v>-10.095948920461728</v>
      </c>
      <c r="G204" s="31">
        <f>G200*G41/G40</f>
        <v>-30.735201047747182</v>
      </c>
      <c r="H204" s="31">
        <f>H200*H41/H40</f>
        <v>-59.78445914220218</v>
      </c>
      <c r="I204" s="31">
        <f>I200*I41/I40</f>
        <v>-107.76404776142728</v>
      </c>
      <c r="J204" s="31">
        <f>J200*J41/J40</f>
        <v>-205.9112552633747</v>
      </c>
      <c r="K204" s="31">
        <f>K200*K41/K40</f>
        <v>-543.5502940081984</v>
      </c>
      <c r="L204" s="31">
        <f>L200*L41/L40</f>
        <v>1785.583374284222</v>
      </c>
      <c r="M204" s="31">
        <f>M200*M41/M40</f>
        <v>338.7098514521589</v>
      </c>
      <c r="N204" s="31">
        <f>N200*N41/N40</f>
        <v>164.20384893056806</v>
      </c>
      <c r="O204" s="31">
        <f>O200*O41/O40</f>
        <v>87.42779609769615</v>
      </c>
      <c r="P204" s="31">
        <f>P200*P41/P40</f>
        <v>41.65838331063277</v>
      </c>
      <c r="Q204" s="31">
        <f>Q200*Q41/Q40</f>
        <v>9.625290264679954</v>
      </c>
      <c r="R204" s="31">
        <f>R200*R41/R40</f>
        <v>-16.85651165450648</v>
      </c>
      <c r="S204" s="31">
        <f>S200*S41/S40</f>
        <v>-43.23248680117427</v>
      </c>
      <c r="T204" s="31">
        <f>T200*T41/T40</f>
        <v>-74.46209693612299</v>
      </c>
      <c r="U204" s="31">
        <f>U200*U41/U40</f>
        <v>-118.3578668700484</v>
      </c>
      <c r="V204" s="31">
        <f>V200*V41/V40</f>
        <v>-198.85265131827282</v>
      </c>
      <c r="W204" s="31">
        <f>W200*W41/W40</f>
        <v>-482.91624562569433</v>
      </c>
      <c r="X204" s="31">
        <f>X200*X41/X40</f>
        <v>930.4103731584182</v>
      </c>
      <c r="Y204" s="31">
        <f>Y200*Y41/Y40</f>
        <v>200.07005029203833</v>
      </c>
      <c r="Z204" s="31">
        <f>Z200*Z41/Z40</f>
        <v>95.09875278936786</v>
      </c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  <c r="HZ204" s="28"/>
      <c r="IA204" s="28"/>
      <c r="IB204" s="28"/>
      <c r="IC204" s="28"/>
      <c r="ID204" s="28"/>
      <c r="IE204" s="28"/>
      <c r="IF204" s="28"/>
      <c r="IG204" s="28"/>
      <c r="IH204" s="28"/>
      <c r="II204" s="28"/>
      <c r="IJ204" s="28"/>
      <c r="IK204" s="28"/>
      <c r="IL204" s="28"/>
      <c r="IM204" s="28"/>
      <c r="IN204" s="28"/>
      <c r="IO204" s="28"/>
      <c r="IP204" s="28"/>
      <c r="IQ204" s="28"/>
      <c r="IR204" s="28"/>
      <c r="IS204" s="28"/>
      <c r="IT204" s="28"/>
      <c r="IU204" s="28"/>
      <c r="IV204" s="28"/>
    </row>
    <row r="205" spans="1:256" ht="12.75">
      <c r="A205" s="24" t="s">
        <v>188</v>
      </c>
      <c r="B205" s="31">
        <f>B150+B198</f>
        <v>-0.5401933976030757</v>
      </c>
      <c r="C205" s="31">
        <f>C150+C198</f>
        <v>-0.7817679959287445</v>
      </c>
      <c r="D205" s="31">
        <f>D150+D198</f>
        <v>-0.9524338916960933</v>
      </c>
      <c r="E205" s="31">
        <f>E150+E198</f>
        <v>-1.0141065766470363</v>
      </c>
      <c r="F205" s="31">
        <f>F150+F198</f>
        <v>-0.9512247973529385</v>
      </c>
      <c r="G205" s="31">
        <f>G150+G198</f>
        <v>-0.7772534415222649</v>
      </c>
      <c r="H205" s="31">
        <f>H150+H198</f>
        <v>-0.5269025747426735</v>
      </c>
      <c r="I205" s="31">
        <f>I150+I198</f>
        <v>-0.24085803056228938</v>
      </c>
      <c r="J205" s="31">
        <f>J150+J198</f>
        <v>0.04762604548338811</v>
      </c>
      <c r="K205" s="31">
        <f>K150+K198</f>
        <v>0.3165086938929149</v>
      </c>
      <c r="L205" s="31">
        <f>L150+L198</f>
        <v>0.5447633985294789</v>
      </c>
      <c r="M205" s="31">
        <f>M150+M198</f>
        <v>0.6961259352430265</v>
      </c>
      <c r="N205" s="31">
        <f>N150+N198</f>
        <v>0.7255783124088777</v>
      </c>
      <c r="O205" s="31">
        <f>O150+O198</f>
        <v>0.6258443798516341</v>
      </c>
      <c r="P205" s="31">
        <f>P150+P198</f>
        <v>0.4639175383286339</v>
      </c>
      <c r="Q205" s="31">
        <f>Q150+Q198</f>
        <v>0.34340242584791414</v>
      </c>
      <c r="R205" s="31">
        <f>R150+R198</f>
        <v>0.3260039821445971</v>
      </c>
      <c r="S205" s="31">
        <f>S150+S198</f>
        <v>0.39363718510841983</v>
      </c>
      <c r="T205" s="31">
        <f>T150+T198</f>
        <v>0.47222767011281164</v>
      </c>
      <c r="U205" s="31">
        <f>U150+U198</f>
        <v>0.4857766960507103</v>
      </c>
      <c r="V205" s="31">
        <f>V150+V198</f>
        <v>0.39969833257473336</v>
      </c>
      <c r="W205" s="31">
        <f>W150+W198</f>
        <v>0.225187681086636</v>
      </c>
      <c r="X205" s="31">
        <f>X150+X198</f>
        <v>-0.007394227701848596</v>
      </c>
      <c r="Y205" s="31">
        <f>Y150+Y198</f>
        <v>-0.2708337423216219</v>
      </c>
      <c r="Z205" s="31">
        <f>Z150+Z198</f>
        <v>-0.5401933976030757</v>
      </c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  <c r="IG205" s="28"/>
      <c r="IH205" s="28"/>
      <c r="II205" s="28"/>
      <c r="IJ205" s="28"/>
      <c r="IK205" s="28"/>
      <c r="IL205" s="28"/>
      <c r="IM205" s="28"/>
      <c r="IN205" s="28"/>
      <c r="IO205" s="28"/>
      <c r="IP205" s="28"/>
      <c r="IQ205" s="28"/>
      <c r="IR205" s="28"/>
      <c r="IS205" s="28"/>
      <c r="IT205" s="28"/>
      <c r="IU205" s="28"/>
      <c r="IV205" s="28"/>
    </row>
    <row r="206" spans="1:256" ht="12.75">
      <c r="A206" s="24" t="s">
        <v>189</v>
      </c>
      <c r="B206" s="54">
        <f>B151+B199+$B$203</f>
        <v>27.251403525074956</v>
      </c>
      <c r="C206" s="54">
        <f>C151+C199+$B$203</f>
        <v>26.994859286711907</v>
      </c>
      <c r="D206" s="54">
        <f>D151+D199+$B$203</f>
        <v>26.77859970176337</v>
      </c>
      <c r="E206" s="54">
        <f>E151+E199+$B$203</f>
        <v>26.65494230851921</v>
      </c>
      <c r="F206" s="54">
        <f>F151+F199+$B$203</f>
        <v>26.63956182674182</v>
      </c>
      <c r="G206" s="54">
        <f>G151+G199+$B$203</f>
        <v>26.721544518189766</v>
      </c>
      <c r="H206" s="54">
        <f>H151+H199+$B$203</f>
        <v>26.874636331891914</v>
      </c>
      <c r="I206" s="54">
        <f>I151+I199+$B$203</f>
        <v>27.05974332467317</v>
      </c>
      <c r="J206" s="54">
        <f>J151+J199+$B$203</f>
        <v>27.220703317300817</v>
      </c>
      <c r="K206" s="54">
        <f>K151+K199+$B$203</f>
        <v>27.285727070548177</v>
      </c>
      <c r="L206" s="54">
        <f>L151+L199+$B$203</f>
        <v>27.190615884657277</v>
      </c>
      <c r="M206" s="54">
        <f>M151+M199+$B$203</f>
        <v>26.92545119311125</v>
      </c>
      <c r="N206" s="54">
        <f>N151+N199+$B$203</f>
        <v>26.566567609812324</v>
      </c>
      <c r="O206" s="54">
        <f>O151+O199+$B$203</f>
        <v>26.239242798807418</v>
      </c>
      <c r="P206" s="54">
        <f>P151+P199+$B$203</f>
        <v>26.0324209769612</v>
      </c>
      <c r="Q206" s="54">
        <f>Q151+Q199+$B$203</f>
        <v>25.962153869762844</v>
      </c>
      <c r="R206" s="54">
        <f>R151+R199+$B$203</f>
        <v>26.01121445140273</v>
      </c>
      <c r="S206" s="54">
        <f>S151+S199+$B$203</f>
        <v>26.17338396736865</v>
      </c>
      <c r="T206" s="54">
        <f>T151+T199+$B$203</f>
        <v>26.449405727426985</v>
      </c>
      <c r="U206" s="54">
        <f>U151+U199+$B$203</f>
        <v>26.81060925343975</v>
      </c>
      <c r="V206" s="54">
        <f>V151+V199+$B$203</f>
        <v>27.178434734783913</v>
      </c>
      <c r="W206" s="54">
        <f>W151+W199+$B$203</f>
        <v>27.44962049089164</v>
      </c>
      <c r="X206" s="54">
        <f>X151+X199+$B$203</f>
        <v>27.54876896214796</v>
      </c>
      <c r="Y206" s="54">
        <f>Y151+Y199+$B$203</f>
        <v>27.465057246647056</v>
      </c>
      <c r="Z206" s="54">
        <f>Z151+Z199+$B$203</f>
        <v>27.251403525074956</v>
      </c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  <c r="FR206" s="69"/>
      <c r="FS206" s="69"/>
      <c r="FT206" s="69"/>
      <c r="FU206" s="69"/>
      <c r="FV206" s="69"/>
      <c r="FW206" s="69"/>
      <c r="FX206" s="69"/>
      <c r="FY206" s="69"/>
      <c r="FZ206" s="69"/>
      <c r="GA206" s="69"/>
      <c r="GB206" s="69"/>
      <c r="GC206" s="69"/>
      <c r="GD206" s="69"/>
      <c r="GE206" s="69"/>
      <c r="GF206" s="69"/>
      <c r="GG206" s="69"/>
      <c r="GH206" s="69"/>
      <c r="GI206" s="69"/>
      <c r="GJ206" s="69"/>
      <c r="GK206" s="69"/>
      <c r="GL206" s="69"/>
      <c r="GM206" s="69"/>
      <c r="GN206" s="69"/>
      <c r="GO206" s="69"/>
      <c r="GP206" s="69"/>
      <c r="GQ206" s="69"/>
      <c r="GR206" s="69"/>
      <c r="GS206" s="69"/>
      <c r="GT206" s="69"/>
      <c r="GU206" s="69"/>
      <c r="GV206" s="69"/>
      <c r="GW206" s="69"/>
      <c r="GX206" s="69"/>
      <c r="GY206" s="69"/>
      <c r="GZ206" s="69"/>
      <c r="HA206" s="69"/>
      <c r="HB206" s="69"/>
      <c r="HC206" s="69"/>
      <c r="HD206" s="69"/>
      <c r="HE206" s="69"/>
      <c r="HF206" s="69"/>
      <c r="HG206" s="69"/>
      <c r="HH206" s="69"/>
      <c r="HI206" s="69"/>
      <c r="HJ206" s="69"/>
      <c r="HK206" s="69"/>
      <c r="HL206" s="69"/>
      <c r="HM206" s="69"/>
      <c r="HN206" s="69"/>
      <c r="HO206" s="69"/>
      <c r="HP206" s="69"/>
      <c r="HQ206" s="69"/>
      <c r="HR206" s="69"/>
      <c r="HS206" s="69"/>
      <c r="HT206" s="69"/>
      <c r="HU206" s="69"/>
      <c r="HV206" s="69"/>
      <c r="HW206" s="69"/>
      <c r="HX206" s="69"/>
      <c r="HY206" s="69"/>
      <c r="HZ206" s="69"/>
      <c r="IA206" s="69"/>
      <c r="IB206" s="69"/>
      <c r="IC206" s="69"/>
      <c r="ID206" s="69"/>
      <c r="IE206" s="69"/>
      <c r="IF206" s="69"/>
      <c r="IG206" s="69"/>
      <c r="IH206" s="69"/>
      <c r="II206" s="69"/>
      <c r="IJ206" s="69"/>
      <c r="IK206" s="69"/>
      <c r="IL206" s="69"/>
      <c r="IM206" s="69"/>
      <c r="IN206" s="69"/>
      <c r="IO206" s="69"/>
      <c r="IP206" s="69"/>
      <c r="IQ206" s="69"/>
      <c r="IR206" s="69"/>
      <c r="IS206" s="69"/>
      <c r="IT206" s="69"/>
      <c r="IU206" s="69"/>
      <c r="IV206" s="69"/>
    </row>
    <row r="207" spans="1:256" ht="12.75">
      <c r="A207" s="25" t="s">
        <v>190</v>
      </c>
      <c r="B207" s="54">
        <f>B152+B204-B150*(B110-B25)+(B151+$B$203)*(B109-B24)-B198*(B51-B25)+B199*(B50-B24)</f>
        <v>182.95502348099816</v>
      </c>
      <c r="C207" s="54">
        <f>C152+C204-C150*(C110-C25)+(C151+$B$203)*(C109-C24)-C198*(C51-C25)+C199*(C50-C24)</f>
        <v>144.22165263493847</v>
      </c>
      <c r="D207" s="54">
        <f>D152+D204-D150*(D110-D25)+(D151+$B$203)*(D109-D24)-D198*(D51-D25)+D199*(D50-D24)</f>
        <v>124.16000784084984</v>
      </c>
      <c r="E207" s="54">
        <f>E152+E204-E150*(E110-E25)+(E151+$B$203)*(E109-E24)-E198*(E51-E25)+E199*(E50-E24)</f>
        <v>110.65462079272515</v>
      </c>
      <c r="F207" s="54">
        <f>F152+F204-F150*(F110-F25)+(F151+$B$203)*(F109-F24)-F198*(F51-F25)+F199*(F50-F24)</f>
        <v>97.91814369557001</v>
      </c>
      <c r="G207" s="54">
        <f>G152+G204-G150*(G110-G25)+(G151+$B$203)*(G109-G24)-G198*(G51-G25)+G199*(G50-G24)</f>
        <v>81.54800826573434</v>
      </c>
      <c r="H207" s="54">
        <f>H152+H204-H150*(H110-H25)+(H151+$B$203)*(H109-H24)-H198*(H51-H25)+H199*(H50-H24)</f>
        <v>56.06825601622036</v>
      </c>
      <c r="I207" s="54">
        <f>I152+I204-I150*(I110-I25)+(I151+$B$203)*(I109-I24)-I198*(I51-I25)+I199*(I50-I24)</f>
        <v>10.836256231236774</v>
      </c>
      <c r="J207" s="54">
        <f>J152+J204-J150*(J110-J25)+(J151+$B$203)*(J109-J24)-J198*(J51-J25)+J199*(J50-J24)</f>
        <v>-85.62299514679755</v>
      </c>
      <c r="K207" s="54">
        <f>K152+K204-K150*(K110-K25)+(K151+$B$203)*(K109-K24)-K198*(K51-K25)+K199*(K50-K24)</f>
        <v>-422.99484320938615</v>
      </c>
      <c r="L207" s="54">
        <f>L152+L204-L150*(L110-L25)+(L151+$B$203)*(L109-L24)-L198*(L51-L25)+L199*(L50-L24)</f>
        <v>1904.6874718393192</v>
      </c>
      <c r="M207" s="54">
        <f>M152+M204-M150*(M110-M25)+(M151+$B$203)*(M109-M24)-M198*(M51-M25)+M199*(M50-M24)</f>
        <v>454.7525897224015</v>
      </c>
      <c r="N207" s="54">
        <f>N152+N204-N150*(N110-N25)+(N151+$B$203)*(N109-N24)-N198*(N51-N25)+N199*(N50-N24)</f>
        <v>276.23513483564193</v>
      </c>
      <c r="O207" s="54">
        <f>O152+O204-O150*(O110-O25)+(O151+$B$203)*(O109-O24)-O198*(O51-O25)+O199*(O50-O24)</f>
        <v>195.2719939980306</v>
      </c>
      <c r="P207" s="54">
        <f>P152+P204-P150*(P110-P25)+(P151+$B$203)*(P109-P24)-P198*(P51-P25)+P199*(P50-P24)</f>
        <v>145.37464285080546</v>
      </c>
      <c r="Q207" s="54">
        <f>Q152+Q204-Q150*(Q110-Q25)+(Q151+$B$203)*(Q109-Q24)-Q198*(Q51-Q25)+Q199*(Q50-Q24)</f>
        <v>108.95403286573699</v>
      </c>
      <c r="R207" s="54">
        <f>R152+R204-R150*(R110-R25)+(R151+$B$203)*(R109-R24)-R198*(R51-R25)+R199*(R50-R24)</f>
        <v>77.57890888684244</v>
      </c>
      <c r="S207" s="54">
        <f>S152+S204-S150*(S110-S25)+(S151+$B$203)*(S109-S24)-S198*(S51-S25)+S199*(S50-S24)</f>
        <v>46.09691082533531</v>
      </c>
      <c r="T207" s="54">
        <f>T152+T204-T150*(T110-T25)+(T151+$B$203)*(T109-T24)-T198*(T51-T25)+T199*(T50-T24)</f>
        <v>10.281610521875308</v>
      </c>
      <c r="U207" s="54">
        <f>U152+U204-U150*(U110-U25)+(U151+$B$203)*(U109-U24)-U198*(U51-U25)+U199*(U50-U24)</f>
        <v>-36.94581869698109</v>
      </c>
      <c r="V207" s="54">
        <f>V152+V204-V150*(V110-V25)+(V151+$B$203)*(V109-V24)-V198*(V51-V25)+V199*(V50-V24)</f>
        <v>-119.13970333352876</v>
      </c>
      <c r="W207" s="54">
        <f>W152+W204-W150*(W110-W25)+(W151+$B$203)*(W109-W24)-W198*(W51-W25)+W199*(W50-W24)</f>
        <v>-403.2604540717999</v>
      </c>
      <c r="X207" s="54">
        <f>X152+X204-X150*(X110-X25)+(X151+$B$203)*(X109-X24)-X198*(X51-X25)+X199*(X50-X24)</f>
        <v>1011.5087255472463</v>
      </c>
      <c r="Y207" s="54">
        <f>Y152+Y204-Y150*(Y110-Y25)+(Y151+$B$203)*(Y109-Y24)-Y198*(Y51-Y25)+Y199*(Y50-Y24)</f>
        <v>283.963785002339</v>
      </c>
      <c r="Z207" s="54">
        <f>Z152+Z204-Z150*(Z110-Z25)+(Z151+$B$203)*(Z109-Z24)-Z198*(Z51-Z25)+Z199*(Z50-Z24)</f>
        <v>182.9550234809981</v>
      </c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69"/>
      <c r="IL207" s="69"/>
      <c r="IM207" s="69"/>
      <c r="IN207" s="69"/>
      <c r="IO207" s="69"/>
      <c r="IP207" s="69"/>
      <c r="IQ207" s="69"/>
      <c r="IR207" s="69"/>
      <c r="IS207" s="69"/>
      <c r="IT207" s="69"/>
      <c r="IU207" s="69"/>
      <c r="IV207" s="69"/>
    </row>
    <row r="208" spans="1:256" ht="12.75">
      <c r="A208" s="25" t="s">
        <v>229</v>
      </c>
      <c r="B208" s="31">
        <f>B205*B26+B206*B27+B207*B40-(B177+B179+B161+B162+B153+B154)</f>
        <v>0</v>
      </c>
      <c r="C208" s="31">
        <f>C205*C26+C206*C27+C207*C40-(C177+C179+C161+C162+C153+C154)</f>
        <v>0</v>
      </c>
      <c r="D208" s="31">
        <f>D205*D26+D206*D27+D207*D40-(D177+D179+D161+D162+D153+D154)</f>
        <v>0</v>
      </c>
      <c r="E208" s="31">
        <f>E205*E26+E206*E27+E207*E40-(E177+E179+E161+E162+E153+E154)</f>
        <v>0</v>
      </c>
      <c r="F208" s="31">
        <f>F205*F26+F206*F27+F207*F40-(F177+F179+F161+F162+F153+F154)</f>
        <v>0</v>
      </c>
      <c r="G208" s="31">
        <f>G205*G26+G206*G27+G207*G40-(G177+G179+G161+G162+G153+G154)</f>
        <v>0</v>
      </c>
      <c r="H208" s="31">
        <f>H205*H26+H206*H27+H207*H40-(H177+H179+H161+H162+H153+H154)</f>
        <v>0</v>
      </c>
      <c r="I208" s="31">
        <f>I205*I26+I206*I27+I207*I40-(I177+I179+I161+I162+I153+I154)</f>
        <v>0</v>
      </c>
      <c r="J208" s="31">
        <f>J205*J26+J206*J27+J207*J40-(J177+J179+J161+J162+J153+J154)</f>
        <v>0</v>
      </c>
      <c r="K208" s="31">
        <f>K205*K26+K206*K27+K207*K40-(K177+K179+K161+K162+K153+K154)</f>
        <v>0</v>
      </c>
      <c r="L208" s="31">
        <f>L205*L26+L206*L27+L207*L40-(L177+L179+L161+L162+L153+L154)</f>
        <v>0</v>
      </c>
      <c r="M208" s="31">
        <f>M205*M26+M206*M27+M207*M40-(M177+M179+M161+M162+M153+M154)</f>
        <v>0</v>
      </c>
      <c r="N208" s="31">
        <f>N205*N26+N206*N27+N207*N40-(N177+N179+N161+N162+N153+N154)</f>
        <v>0</v>
      </c>
      <c r="O208" s="31">
        <f>O205*O26+O206*O27+O207*O40-(O177+O179+O161+O162+O153+O154)</f>
        <v>0</v>
      </c>
      <c r="P208" s="31">
        <f>P205*P26+P206*P27+P207*P40-(P177+P179+P161+P162+P153+P154)</f>
        <v>0</v>
      </c>
      <c r="Q208" s="31">
        <f>Q205*Q26+Q206*Q27+Q207*Q40-(Q177+Q179+Q161+Q162+Q153+Q154)</f>
        <v>-6.439293542825908E-15</v>
      </c>
      <c r="R208" s="31">
        <f>R205*R26+R206*R27+R207*R40-(R177+R179+R161+R162+R153+R154)</f>
        <v>-6.38378239159465E-16</v>
      </c>
      <c r="S208" s="31">
        <f>S205*S26+S206*S27+S207*S40-(S177+S179+S161+S162+S153+S154)</f>
        <v>1.0658141036401503E-14</v>
      </c>
      <c r="T208" s="31">
        <f>T205*T26+T206*T27+T207*T40-(T177+T179+T161+T162+T153+T154)</f>
        <v>-4.884981308350689E-15</v>
      </c>
      <c r="U208" s="31">
        <f>U205*U26+U206*U27+U207*U40-(U177+U179+U161+U162+U153+U154)</f>
        <v>0</v>
      </c>
      <c r="V208" s="31">
        <f>V205*V26+V206*V27+V207*V40-(V177+V179+V161+V162+V153+V154)</f>
        <v>0</v>
      </c>
      <c r="W208" s="31">
        <f>W205*W26+W206*W27+W207*W40-(W177+W179+W161+W162+W153+W154)</f>
        <v>0</v>
      </c>
      <c r="X208" s="31">
        <f>X205*X26+X206*X27+X207*X40-(X177+X179+X161+X162+X153+X154)</f>
        <v>0</v>
      </c>
      <c r="Y208" s="31">
        <f>Y205*Y26+Y206*Y27+Y207*Y40-(Y177+Y179+Y161+Y162+Y153+Y154)</f>
        <v>0</v>
      </c>
      <c r="Z208" s="31">
        <f>Z205*Z26+Z206*Z27+Z207*Z40-(Z177+Z179+Z161+Z162+Z153+Z154)</f>
        <v>0</v>
      </c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  <c r="HG208" s="28"/>
      <c r="HH208" s="28"/>
      <c r="HI208" s="28"/>
      <c r="HJ208" s="28"/>
      <c r="HK208" s="28"/>
      <c r="HL208" s="28"/>
      <c r="HM208" s="28"/>
      <c r="HN208" s="28"/>
      <c r="HO208" s="28"/>
      <c r="HP208" s="28"/>
      <c r="HQ208" s="28"/>
      <c r="HR208" s="28"/>
      <c r="HS208" s="28"/>
      <c r="HT208" s="28"/>
      <c r="HU208" s="28"/>
      <c r="HV208" s="28"/>
      <c r="HW208" s="28"/>
      <c r="HX208" s="28"/>
      <c r="HY208" s="28"/>
      <c r="HZ208" s="28"/>
      <c r="IA208" s="28"/>
      <c r="IB208" s="28"/>
      <c r="IC208" s="28"/>
      <c r="ID208" s="28"/>
      <c r="IE208" s="28"/>
      <c r="IF208" s="28"/>
      <c r="IG208" s="28"/>
      <c r="IH208" s="28"/>
      <c r="II208" s="28"/>
      <c r="IJ208" s="28"/>
      <c r="IK208" s="28"/>
      <c r="IL208" s="28"/>
      <c r="IM208" s="28"/>
      <c r="IN208" s="28"/>
      <c r="IO208" s="28"/>
      <c r="IP208" s="28"/>
      <c r="IQ208" s="28"/>
      <c r="IR208" s="28"/>
      <c r="IS208" s="28"/>
      <c r="IT208" s="28"/>
      <c r="IU208" s="28"/>
      <c r="IV208" s="28"/>
    </row>
    <row r="209" spans="1:256" ht="12.75">
      <c r="A209" s="25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  <c r="II209" s="24"/>
      <c r="IJ209" s="24"/>
      <c r="IK209" s="24"/>
      <c r="IL209" s="24"/>
      <c r="IM209" s="24"/>
      <c r="IN209" s="24"/>
      <c r="IO209" s="24"/>
      <c r="IP209" s="24"/>
      <c r="IQ209" s="24"/>
      <c r="IR209" s="24"/>
      <c r="IS209" s="24"/>
      <c r="IT209" s="24"/>
      <c r="IU209" s="24"/>
      <c r="IV209" s="24"/>
    </row>
    <row r="210" spans="1:256" ht="12.75">
      <c r="A210" s="24" t="s">
        <v>230</v>
      </c>
      <c r="B210" s="31">
        <f>$M$3*$I$10</f>
        <v>9.81</v>
      </c>
      <c r="C210" s="31"/>
      <c r="D210" s="31"/>
      <c r="E210" s="31"/>
      <c r="F210" s="31"/>
      <c r="G210" s="31" t="s">
        <v>191</v>
      </c>
      <c r="H210" s="31"/>
      <c r="I210" s="31"/>
      <c r="J210" s="31"/>
      <c r="K210" s="31"/>
      <c r="L210" s="31"/>
      <c r="M210" s="31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  <c r="II210" s="24"/>
      <c r="IJ210" s="24"/>
      <c r="IK210" s="24"/>
      <c r="IL210" s="24"/>
      <c r="IM210" s="24"/>
      <c r="IN210" s="24"/>
      <c r="IO210" s="24"/>
      <c r="IP210" s="24"/>
      <c r="IQ210" s="24"/>
      <c r="IR210" s="24"/>
      <c r="IS210" s="24"/>
      <c r="IT210" s="24"/>
      <c r="IU210" s="24"/>
      <c r="IV210" s="24"/>
    </row>
    <row r="211" spans="1:256" ht="12.75">
      <c r="A211" s="25" t="s">
        <v>192</v>
      </c>
      <c r="B211" s="31">
        <f>B207*B40/B20</f>
        <v>-16.832639254869434</v>
      </c>
      <c r="C211" s="31">
        <f>C207*C40/C20</f>
        <v>-17.300358611918018</v>
      </c>
      <c r="D211" s="31">
        <f>D207*D40/D20</f>
        <v>-17.04119394749517</v>
      </c>
      <c r="E211" s="31">
        <f>E207*E40/E20</f>
        <v>-15.871293421364603</v>
      </c>
      <c r="F211" s="31">
        <f>F207*F40/F20</f>
        <v>-13.651113060493845</v>
      </c>
      <c r="G211" s="31">
        <f>G207*G40/G20</f>
        <v>-10.347574825796082</v>
      </c>
      <c r="H211" s="31">
        <f>H207*H40/H20</f>
        <v>-6.038601011127774</v>
      </c>
      <c r="I211" s="31">
        <f>I207*I40/I20</f>
        <v>-0.9043056472386211</v>
      </c>
      <c r="J211" s="31">
        <f>J207*J40/J20</f>
        <v>4.743375105344923</v>
      </c>
      <c r="K211" s="31">
        <f>K207*K40/K20</f>
        <v>10.389784117789405</v>
      </c>
      <c r="L211" s="31">
        <f>L207*L40/L20</f>
        <v>15.296921261169068</v>
      </c>
      <c r="M211" s="31">
        <f>M207*M40/M20</f>
        <v>18.690585358263778</v>
      </c>
      <c r="N211" s="2">
        <f>N207*N40/N20</f>
        <v>20.149915560488417</v>
      </c>
      <c r="O211" s="2">
        <f>O207*O40/O20</f>
        <v>19.81366616685646</v>
      </c>
      <c r="P211" s="2">
        <f>P207*P40/P20</f>
        <v>18.084612670995387</v>
      </c>
      <c r="Q211" s="2">
        <f>Q207*Q40/Q20</f>
        <v>15.214981791964606</v>
      </c>
      <c r="R211" s="2">
        <f>R207*R40/R20</f>
        <v>11.294206614668273</v>
      </c>
      <c r="S211" s="2">
        <f>S207*S40/S20</f>
        <v>6.511264935607155</v>
      </c>
      <c r="T211" s="2">
        <f>T207*T40/T20</f>
        <v>1.299813894043957</v>
      </c>
      <c r="U211" s="2">
        <f>U207*U40/U20</f>
        <v>-3.755017839770572</v>
      </c>
      <c r="V211" s="2">
        <f>V207*V40/V20</f>
        <v>-8.135283400362756</v>
      </c>
      <c r="W211" s="2">
        <f>W207*W40/W20</f>
        <v>-11.568143527540089</v>
      </c>
      <c r="X211" s="2">
        <f>X207*X40/X20</f>
        <v>-14.055315652296839</v>
      </c>
      <c r="Y211" s="2">
        <f>Y207*Y40/Y20</f>
        <v>-15.7588931727182</v>
      </c>
      <c r="Z211" s="2">
        <f>Z207*Z40/Z20</f>
        <v>-16.832639254869434</v>
      </c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  <c r="GX211" s="24"/>
      <c r="GY211" s="24"/>
      <c r="GZ211" s="24"/>
      <c r="HA211" s="24"/>
      <c r="HB211" s="24"/>
      <c r="HC211" s="24"/>
      <c r="HD211" s="24"/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24"/>
      <c r="HR211" s="24"/>
      <c r="HS211" s="24"/>
      <c r="HT211" s="24"/>
      <c r="HU211" s="24"/>
      <c r="HV211" s="24"/>
      <c r="HW211" s="24"/>
      <c r="HX211" s="24"/>
      <c r="HY211" s="24"/>
      <c r="HZ211" s="24"/>
      <c r="IA211" s="24"/>
      <c r="IB211" s="24"/>
      <c r="IC211" s="24"/>
      <c r="ID211" s="24"/>
      <c r="IE211" s="24"/>
      <c r="IF211" s="24"/>
      <c r="IG211" s="24"/>
      <c r="IH211" s="24"/>
      <c r="II211" s="24"/>
      <c r="IJ211" s="24"/>
      <c r="IK211" s="24"/>
      <c r="IL211" s="24"/>
      <c r="IM211" s="24"/>
      <c r="IN211" s="24"/>
      <c r="IO211" s="24"/>
      <c r="IP211" s="24"/>
      <c r="IQ211" s="24"/>
      <c r="IR211" s="24"/>
      <c r="IS211" s="24"/>
      <c r="IT211" s="24"/>
      <c r="IU211" s="24"/>
      <c r="IV211" s="24"/>
    </row>
    <row r="212" spans="1:256" ht="12.75">
      <c r="A212" s="24" t="s">
        <v>232</v>
      </c>
      <c r="B212" s="31">
        <f>B142+B205</f>
        <v>-1.5401933976030757</v>
      </c>
      <c r="C212" s="31">
        <f>C142+C205</f>
        <v>-1.7341482799984869</v>
      </c>
      <c r="D212" s="31">
        <f>D142+D205</f>
        <v>-1.79229131735906</v>
      </c>
      <c r="E212" s="31">
        <f>E142+E205</f>
        <v>-1.6842062482743159</v>
      </c>
      <c r="F212" s="31">
        <f>F142+F205</f>
        <v>-1.4059005297151985</v>
      </c>
      <c r="G212" s="31">
        <f>G142+G205</f>
        <v>-0.9855198348461917</v>
      </c>
      <c r="H212" s="31">
        <f>H142+H205</f>
        <v>-0.47456661849972975</v>
      </c>
      <c r="I212" s="31">
        <f>I142+I205</f>
        <v>0.0685136663188255</v>
      </c>
      <c r="J212" s="31">
        <f>J142+J205</f>
        <v>0.592950313121128</v>
      </c>
      <c r="K212" s="31">
        <f>K142+K205</f>
        <v>1.0606225846387303</v>
      </c>
      <c r="L212" s="31">
        <f>L142+L205</f>
        <v>1.4369567804353895</v>
      </c>
      <c r="M212" s="31">
        <f>M142+M205</f>
        <v>1.6755973037514207</v>
      </c>
      <c r="N212" s="2">
        <f>N142+N205</f>
        <v>1.7255783124088777</v>
      </c>
      <c r="O212" s="2">
        <f>O142+O205</f>
        <v>1.5782246639213764</v>
      </c>
      <c r="P212" s="2">
        <f>P142+P205</f>
        <v>1.3037749639916005</v>
      </c>
      <c r="Q212" s="2">
        <f>Q142+Q205</f>
        <v>1.0135020974751938</v>
      </c>
      <c r="R212" s="2">
        <f>R142+R205</f>
        <v>0.7806797145068574</v>
      </c>
      <c r="S212" s="2">
        <f>S142+S205</f>
        <v>0.6019035784323464</v>
      </c>
      <c r="T212" s="2">
        <f>T142+T205</f>
        <v>0.419891713869868</v>
      </c>
      <c r="U212" s="2">
        <f>U142+U205</f>
        <v>0.17640499916959596</v>
      </c>
      <c r="V212" s="2">
        <f>V142+V205</f>
        <v>-0.14562593506300686</v>
      </c>
      <c r="W212" s="2">
        <f>W142+W205</f>
        <v>-0.5189262096591793</v>
      </c>
      <c r="X212" s="2">
        <f>X142+X205</f>
        <v>-0.899587609607759</v>
      </c>
      <c r="Y212" s="2">
        <f>Y142+Y205</f>
        <v>-1.2503051108300163</v>
      </c>
      <c r="Z212" s="2">
        <f>Z142+Z205</f>
        <v>-1.5401933976030757</v>
      </c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  <c r="IU212" s="24"/>
      <c r="IV212" s="24"/>
    </row>
    <row r="213" spans="1:256" ht="12.75">
      <c r="A213" s="24" t="s">
        <v>233</v>
      </c>
      <c r="B213" s="54">
        <f>B143+B206+$B$210</f>
        <v>37.00906756883201</v>
      </c>
      <c r="C213" s="54">
        <f>C143+C206+$B$210</f>
        <v>36.495487589830795</v>
      </c>
      <c r="D213" s="54">
        <f>D143+D206+$B$210</f>
        <v>36.04327543412563</v>
      </c>
      <c r="E213" s="54">
        <f>E143+E206+$B$210</f>
        <v>35.7208284177734</v>
      </c>
      <c r="F213" s="54">
        <f>F143+F206+$B$210</f>
        <v>35.55736844483591</v>
      </c>
      <c r="G213" s="54">
        <f>G143+G206+$B$210</f>
        <v>35.55207314968137</v>
      </c>
      <c r="H213" s="54">
        <f>H143+H206+$B$210</f>
        <v>35.684636331891916</v>
      </c>
      <c r="I213" s="54">
        <f>I143+I206+$B$210</f>
        <v>35.917363040603426</v>
      </c>
      <c r="J213" s="54">
        <f>J143+J206+$B$210</f>
        <v>36.19084589163785</v>
      </c>
      <c r="K213" s="54">
        <f>K143+K206+$B$210</f>
        <v>36.425627398920895</v>
      </c>
      <c r="L213" s="54">
        <f>L143+L206+$B$210</f>
        <v>36.54594015229502</v>
      </c>
      <c r="M213" s="54">
        <f>M143+M206+$B$210</f>
        <v>36.52718479978732</v>
      </c>
      <c r="N213" s="54">
        <f>N143+N206+$B$210</f>
        <v>36.42890356605527</v>
      </c>
      <c r="O213" s="54">
        <f>O143+O206+$B$210</f>
        <v>36.358614495688535</v>
      </c>
      <c r="P213" s="54">
        <f>P143+P206+$B$210</f>
        <v>36.38774524459894</v>
      </c>
      <c r="Q213" s="54">
        <f>Q143+Q206+$B$210</f>
        <v>36.51626776050866</v>
      </c>
      <c r="R213" s="54">
        <f>R143+R206+$B$210</f>
        <v>36.71340783330864</v>
      </c>
      <c r="S213" s="54">
        <f>S143+S206+$B$210</f>
        <v>36.962855335877045</v>
      </c>
      <c r="T213" s="54">
        <f>T143+T206+$B$210</f>
        <v>37.25940572742699</v>
      </c>
      <c r="U213" s="54">
        <f>U143+U206+$B$210</f>
        <v>37.57298953750949</v>
      </c>
      <c r="V213" s="54">
        <f>V143+V206+$B$210</f>
        <v>37.82829216044688</v>
      </c>
      <c r="W213" s="54">
        <f>W143+W206+$B$210</f>
        <v>37.92972016251892</v>
      </c>
      <c r="X213" s="54">
        <f>X143+X206+$B$210</f>
        <v>37.813444694510224</v>
      </c>
      <c r="Y213" s="54">
        <f>Y143+Y206+$B$210</f>
        <v>37.48332363997098</v>
      </c>
      <c r="Z213" s="54">
        <f>Z143+Z206+$B$210</f>
        <v>37.009067568832016</v>
      </c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  <c r="FI213" s="69"/>
      <c r="FJ213" s="69"/>
      <c r="FK213" s="69"/>
      <c r="FL213" s="69"/>
      <c r="FM213" s="69"/>
      <c r="FN213" s="69"/>
      <c r="FO213" s="69"/>
      <c r="FP213" s="69"/>
      <c r="FQ213" s="69"/>
      <c r="FR213" s="69"/>
      <c r="FS213" s="69"/>
      <c r="FT213" s="69"/>
      <c r="FU213" s="69"/>
      <c r="FV213" s="69"/>
      <c r="FW213" s="69"/>
      <c r="FX213" s="69"/>
      <c r="FY213" s="69"/>
      <c r="FZ213" s="69"/>
      <c r="GA213" s="69"/>
      <c r="GB213" s="69"/>
      <c r="GC213" s="69"/>
      <c r="GD213" s="69"/>
      <c r="GE213" s="69"/>
      <c r="GF213" s="69"/>
      <c r="GG213" s="69"/>
      <c r="GH213" s="69"/>
      <c r="GI213" s="69"/>
      <c r="GJ213" s="69"/>
      <c r="GK213" s="69"/>
      <c r="GL213" s="69"/>
      <c r="GM213" s="69"/>
      <c r="GN213" s="69"/>
      <c r="GO213" s="69"/>
      <c r="GP213" s="69"/>
      <c r="GQ213" s="69"/>
      <c r="GR213" s="69"/>
      <c r="GS213" s="69"/>
      <c r="GT213" s="69"/>
      <c r="GU213" s="69"/>
      <c r="GV213" s="69"/>
      <c r="GW213" s="69"/>
      <c r="GX213" s="69"/>
      <c r="GY213" s="69"/>
      <c r="GZ213" s="69"/>
      <c r="HA213" s="69"/>
      <c r="HB213" s="69"/>
      <c r="HC213" s="69"/>
      <c r="HD213" s="69"/>
      <c r="HE213" s="69"/>
      <c r="HF213" s="69"/>
      <c r="HG213" s="69"/>
      <c r="HH213" s="69"/>
      <c r="HI213" s="69"/>
      <c r="HJ213" s="69"/>
      <c r="HK213" s="69"/>
      <c r="HL213" s="69"/>
      <c r="HM213" s="69"/>
      <c r="HN213" s="69"/>
      <c r="HO213" s="69"/>
      <c r="HP213" s="69"/>
      <c r="HQ213" s="69"/>
      <c r="HR213" s="69"/>
      <c r="HS213" s="69"/>
      <c r="HT213" s="69"/>
      <c r="HU213" s="69"/>
      <c r="HV213" s="69"/>
      <c r="HW213" s="69"/>
      <c r="HX213" s="69"/>
      <c r="HY213" s="69"/>
      <c r="HZ213" s="69"/>
      <c r="IA213" s="69"/>
      <c r="IB213" s="69"/>
      <c r="IC213" s="69"/>
      <c r="ID213" s="69"/>
      <c r="IE213" s="69"/>
      <c r="IF213" s="69"/>
      <c r="IG213" s="69"/>
      <c r="IH213" s="69"/>
      <c r="II213" s="69"/>
      <c r="IJ213" s="69"/>
      <c r="IK213" s="69"/>
      <c r="IL213" s="69"/>
      <c r="IM213" s="69"/>
      <c r="IN213" s="69"/>
      <c r="IO213" s="69"/>
      <c r="IP213" s="69"/>
      <c r="IQ213" s="69"/>
      <c r="IR213" s="69"/>
      <c r="IS213" s="69"/>
      <c r="IT213" s="69"/>
      <c r="IU213" s="69"/>
      <c r="IV213" s="69"/>
    </row>
    <row r="214" spans="1:256" s="27" customFormat="1" ht="12.75">
      <c r="A214" s="25" t="s">
        <v>193</v>
      </c>
      <c r="B214" s="54">
        <f>B144+B211-B142*B103+(B143+$B$210)*B102-B205*B25+B206*B24</f>
        <v>20.219688706805005</v>
      </c>
      <c r="C214" s="54">
        <f>C144+C211-C142*C103+(C143+$B$210)*C102-C205*C25+C206*C24</f>
        <v>17.957708402304682</v>
      </c>
      <c r="D214" s="54">
        <f>D144+D211-D142*D103+(D143+$B$210)*D102-D205*D25+D206*D24</f>
        <v>14.174963494608551</v>
      </c>
      <c r="E214" s="54">
        <f>E144+E211-E142*E103+(E143+$B$210)*E102-E205*E25+E206*E24</f>
        <v>9.291650121576694</v>
      </c>
      <c r="F214" s="54">
        <f>F144+F211-F142*F103+(F143+$B$210)*F102-F205*F25+F206*F24</f>
        <v>3.7509113609562252</v>
      </c>
      <c r="G214" s="54">
        <f>G144+G211-G142*G103+(G143+$B$210)*G102-G205*G25+G206*G24</f>
        <v>-1.9884914162624012</v>
      </c>
      <c r="H214" s="54">
        <f>H144+H211-H142*H103+(H143+$B$210)*H102-H205*H25+H206*H24</f>
        <v>-7.432346059905711</v>
      </c>
      <c r="I214" s="54">
        <f>I144+I211-I142*I103+(I143+$B$210)*I102-I205*I25+I206*I24</f>
        <v>-12.07209294492213</v>
      </c>
      <c r="J214" s="54">
        <f>J144+J211-J142*J103+(J143+$B$210)*J102-J205*J25+J206*J24</f>
        <v>-15.471656109960911</v>
      </c>
      <c r="K214" s="54">
        <f>K144+K211-K142*K103+(K143+$B$210)*K102-K205*K25+K206*K24</f>
        <v>-17.399005686555796</v>
      </c>
      <c r="L214" s="54">
        <f>L144+L211-L142*L103+(L143+$B$210)*L102-L205*L25+L206*L24</f>
        <v>-17.92982937279563</v>
      </c>
      <c r="M214" s="54">
        <f>M144+M211-M142*M103+(M143+$B$210)*M102-M205*M25+M206*M24</f>
        <v>-17.39982697023899</v>
      </c>
      <c r="N214" s="54">
        <f>N144+N211-N142*N103+(N143+$B$210)*N102-N205*N25+N206*N24</f>
        <v>-16.152269656915337</v>
      </c>
      <c r="O214" s="54">
        <f>O144+O211-O142*O103+(O143+$B$210)*O102-O205*O25+O206*O24</f>
        <v>-14.290790717115986</v>
      </c>
      <c r="P214" s="54">
        <f>P144+P211-P142*P103+(P143+$B$210)*P102-P205*P25+P206*P24</f>
        <v>-11.734346360098876</v>
      </c>
      <c r="Q214" s="54">
        <f>Q144+Q211-Q142*Q103+(Q143+$B$210)*Q102-Q205*Q25+Q206*Q24</f>
        <v>-8.475570012130138</v>
      </c>
      <c r="R214" s="54">
        <f>R144+R211-R142*R103+(R143+$B$210)*R102-R205*R25+R206*R24</f>
        <v>-4.684534892428135</v>
      </c>
      <c r="S214" s="54">
        <f>S144+S211-S142*S103+(S143+$B$210)*S102-S205*S25+S206*S24</f>
        <v>-0.5885456298052025</v>
      </c>
      <c r="T214" s="54">
        <f>T144+T211-T142*T103+(T143+$B$210)*T102-T205*T25+T206*T24</f>
        <v>3.6690650640927096</v>
      </c>
      <c r="U214" s="54">
        <f>U144+U211-U142*U103+(U143+$B$210)*U102-U205*U25+U206*U24</f>
        <v>8.026853487735613</v>
      </c>
      <c r="V214" s="54">
        <f>V144+V211-V142*V103+(V143+$B$210)*V102-V205*V25+V206*V24</f>
        <v>12.351999359922372</v>
      </c>
      <c r="W214" s="54">
        <f>W144+W211-W142*W103+(W143+$B$210)*W102-W205*W25+W206*W24</f>
        <v>16.28133713939077</v>
      </c>
      <c r="X214" s="54">
        <f>X144+X211-X142*X103+(X143+$B$210)*X102-X205*X25+X206*X24</f>
        <v>19.23987739370243</v>
      </c>
      <c r="Y214" s="54">
        <f>Y144+Y211-Y142*Y103+(Y143+$B$210)*Y102-Y205*Y25+Y206*Y24</f>
        <v>20.658291300876996</v>
      </c>
      <c r="Z214" s="54">
        <f>Z144+Z211-Z142*Z103+(Z143+$B$210)*Z102-Z205*Z25+Z206*Z24</f>
        <v>20.219688706805</v>
      </c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  <c r="FI214" s="69"/>
      <c r="FJ214" s="69"/>
      <c r="FK214" s="69"/>
      <c r="FL214" s="69"/>
      <c r="FM214" s="69"/>
      <c r="FN214" s="69"/>
      <c r="FO214" s="69"/>
      <c r="FP214" s="69"/>
      <c r="FQ214" s="69"/>
      <c r="FR214" s="69"/>
      <c r="FS214" s="69"/>
      <c r="FT214" s="69"/>
      <c r="FU214" s="69"/>
      <c r="FV214" s="69"/>
      <c r="FW214" s="69"/>
      <c r="FX214" s="69"/>
      <c r="FY214" s="69"/>
      <c r="FZ214" s="69"/>
      <c r="GA214" s="69"/>
      <c r="GB214" s="69"/>
      <c r="GC214" s="69"/>
      <c r="GD214" s="69"/>
      <c r="GE214" s="69"/>
      <c r="GF214" s="69"/>
      <c r="GG214" s="69"/>
      <c r="GH214" s="69"/>
      <c r="GI214" s="69"/>
      <c r="GJ214" s="69"/>
      <c r="GK214" s="69"/>
      <c r="GL214" s="69"/>
      <c r="GM214" s="69"/>
      <c r="GN214" s="69"/>
      <c r="GO214" s="69"/>
      <c r="GP214" s="69"/>
      <c r="GQ214" s="69"/>
      <c r="GR214" s="69"/>
      <c r="GS214" s="69"/>
      <c r="GT214" s="69"/>
      <c r="GU214" s="69"/>
      <c r="GV214" s="69"/>
      <c r="GW214" s="69"/>
      <c r="GX214" s="69"/>
      <c r="GY214" s="69"/>
      <c r="GZ214" s="69"/>
      <c r="HA214" s="69"/>
      <c r="HB214" s="69"/>
      <c r="HC214" s="69"/>
      <c r="HD214" s="69"/>
      <c r="HE214" s="69"/>
      <c r="HF214" s="69"/>
      <c r="HG214" s="69"/>
      <c r="HH214" s="69"/>
      <c r="HI214" s="69"/>
      <c r="HJ214" s="69"/>
      <c r="HK214" s="69"/>
      <c r="HL214" s="69"/>
      <c r="HM214" s="69"/>
      <c r="HN214" s="69"/>
      <c r="HO214" s="69"/>
      <c r="HP214" s="69"/>
      <c r="HQ214" s="69"/>
      <c r="HR214" s="69"/>
      <c r="HS214" s="69"/>
      <c r="HT214" s="69"/>
      <c r="HU214" s="69"/>
      <c r="HV214" s="69"/>
      <c r="HW214" s="69"/>
      <c r="HX214" s="69"/>
      <c r="HY214" s="69"/>
      <c r="HZ214" s="69"/>
      <c r="IA214" s="69"/>
      <c r="IB214" s="69"/>
      <c r="IC214" s="69"/>
      <c r="ID214" s="69"/>
      <c r="IE214" s="69"/>
      <c r="IF214" s="69"/>
      <c r="IG214" s="69"/>
      <c r="IH214" s="69"/>
      <c r="II214" s="69"/>
      <c r="IJ214" s="69"/>
      <c r="IK214" s="69"/>
      <c r="IL214" s="69"/>
      <c r="IM214" s="69"/>
      <c r="IN214" s="69"/>
      <c r="IO214" s="69"/>
      <c r="IP214" s="69"/>
      <c r="IQ214" s="69"/>
      <c r="IR214" s="69"/>
      <c r="IS214" s="69"/>
      <c r="IT214" s="69"/>
      <c r="IU214" s="69"/>
      <c r="IV214" s="69"/>
    </row>
    <row r="215" spans="1:256" ht="12.75">
      <c r="A215" s="24" t="s">
        <v>231</v>
      </c>
      <c r="B215" s="31">
        <f>B214*B20-B183</f>
        <v>0.05993725330410271</v>
      </c>
      <c r="C215" s="31">
        <f>C214*C20-C183</f>
        <v>0.06815839657251033</v>
      </c>
      <c r="D215" s="31">
        <f>D214*D20-D183</f>
        <v>0.05026683733806969</v>
      </c>
      <c r="E215" s="31">
        <f>E214*E20-E183</f>
        <v>0.016574591585612808</v>
      </c>
      <c r="F215" s="31">
        <f>F214*F20-F183</f>
        <v>-0.021476861898177546</v>
      </c>
      <c r="G215" s="31">
        <f>G214*G20-G183</f>
        <v>-0.052876998052264756</v>
      </c>
      <c r="H215" s="31">
        <f>H214*H20-H183</f>
        <v>-0.06775715692865791</v>
      </c>
      <c r="I215" s="31">
        <f>I214*I20-I183</f>
        <v>-0.057407950125007545</v>
      </c>
      <c r="J215" s="31">
        <f>J214*J20-J183</f>
        <v>-0.014528824017135733</v>
      </c>
      <c r="K215" s="31">
        <f>K214*K20-K183</f>
        <v>0.06451690314025527</v>
      </c>
      <c r="L215" s="31">
        <f>L214*L20-L183</f>
        <v>0.17353093521303364</v>
      </c>
      <c r="M215" s="31">
        <f>M214*M20-M183</f>
        <v>0.28780418359074034</v>
      </c>
      <c r="N215" s="31">
        <f>N214*N20-N183</f>
        <v>0.3629433788482892</v>
      </c>
      <c r="O215" s="31">
        <f>O214*O20-O183</f>
        <v>0.3539371709248371</v>
      </c>
      <c r="P215" s="31">
        <f>P214*P20-P183</f>
        <v>0.24627865518603365</v>
      </c>
      <c r="Q215" s="31">
        <f>Q214*Q20-Q183</f>
        <v>0.06883058404241638</v>
      </c>
      <c r="R215" s="31">
        <f>R214*R20-R183</f>
        <v>-0.12294066781585933</v>
      </c>
      <c r="S215" s="31">
        <f>S214*S20-S183</f>
        <v>-0.2736752376129805</v>
      </c>
      <c r="T215" s="31">
        <f>T214*T20-T183</f>
        <v>-0.3474179770516761</v>
      </c>
      <c r="U215" s="31">
        <f>U214*U20-U183</f>
        <v>-0.3368804063390538</v>
      </c>
      <c r="V215" s="31">
        <f>V214*V20-V183</f>
        <v>-0.26201268129247346</v>
      </c>
      <c r="W215" s="31">
        <f>W214*W20-W183</f>
        <v>-0.1575717802936012</v>
      </c>
      <c r="X215" s="31">
        <f>X214*X20-X183</f>
        <v>-0.05682270831855618</v>
      </c>
      <c r="Y215" s="31">
        <f>Y214*Y20-Y183</f>
        <v>0.01859035999953207</v>
      </c>
      <c r="Z215" s="31">
        <f>Z214*Z20-Z183</f>
        <v>0.05993725330409916</v>
      </c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8"/>
      <c r="FV215" s="28"/>
      <c r="FW215" s="28"/>
      <c r="FX215" s="28"/>
      <c r="FY215" s="28"/>
      <c r="FZ215" s="28"/>
      <c r="GA215" s="28"/>
      <c r="GB215" s="28"/>
      <c r="GC215" s="28"/>
      <c r="GD215" s="28"/>
      <c r="GE215" s="28"/>
      <c r="GF215" s="28"/>
      <c r="GG215" s="28"/>
      <c r="GH215" s="28"/>
      <c r="GI215" s="28"/>
      <c r="GJ215" s="28"/>
      <c r="GK215" s="28"/>
      <c r="GL215" s="28"/>
      <c r="GM215" s="28"/>
      <c r="GN215" s="28"/>
      <c r="GO215" s="28"/>
      <c r="GP215" s="28"/>
      <c r="GQ215" s="28"/>
      <c r="GR215" s="28"/>
      <c r="GS215" s="28"/>
      <c r="GT215" s="28"/>
      <c r="GU215" s="28"/>
      <c r="GV215" s="28"/>
      <c r="GW215" s="28"/>
      <c r="GX215" s="28"/>
      <c r="GY215" s="28"/>
      <c r="GZ215" s="28"/>
      <c r="HA215" s="28"/>
      <c r="HB215" s="28"/>
      <c r="HC215" s="28"/>
      <c r="HD215" s="28"/>
      <c r="HE215" s="28"/>
      <c r="HF215" s="28"/>
      <c r="HG215" s="28"/>
      <c r="HH215" s="28"/>
      <c r="HI215" s="28"/>
      <c r="HJ215" s="28"/>
      <c r="HK215" s="28"/>
      <c r="HL215" s="28"/>
      <c r="HM215" s="28"/>
      <c r="HN215" s="28"/>
      <c r="HO215" s="28"/>
      <c r="HP215" s="28"/>
      <c r="HQ215" s="28"/>
      <c r="HR215" s="28"/>
      <c r="HS215" s="28"/>
      <c r="HT215" s="28"/>
      <c r="HU215" s="28"/>
      <c r="HV215" s="28"/>
      <c r="HW215" s="28"/>
      <c r="HX215" s="28"/>
      <c r="HY215" s="28"/>
      <c r="HZ215" s="28"/>
      <c r="IA215" s="28"/>
      <c r="IB215" s="28"/>
      <c r="IC215" s="28"/>
      <c r="ID215" s="28"/>
      <c r="IE215" s="28"/>
      <c r="IF215" s="28"/>
      <c r="IG215" s="28"/>
      <c r="IH215" s="28"/>
      <c r="II215" s="28"/>
      <c r="IJ215" s="28"/>
      <c r="IK215" s="28"/>
      <c r="IL215" s="28"/>
      <c r="IM215" s="28"/>
      <c r="IN215" s="28"/>
      <c r="IO215" s="28"/>
      <c r="IP215" s="28"/>
      <c r="IQ215" s="28"/>
      <c r="IR215" s="28"/>
      <c r="IS215" s="28"/>
      <c r="IT215" s="28"/>
      <c r="IU215" s="28"/>
      <c r="IV215" s="28"/>
    </row>
    <row r="216" spans="1:256" ht="12.75">
      <c r="A216" s="24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24"/>
      <c r="IJ216" s="24"/>
      <c r="IK216" s="24"/>
      <c r="IL216" s="24"/>
      <c r="IM216" s="24"/>
      <c r="IN216" s="24"/>
      <c r="IO216" s="24"/>
      <c r="IP216" s="24"/>
      <c r="IQ216" s="24"/>
      <c r="IR216" s="24"/>
      <c r="IS216" s="24"/>
      <c r="IT216" s="24"/>
      <c r="IU216" s="24"/>
      <c r="IV216" s="24"/>
    </row>
    <row r="217" spans="2:26" s="24" customFormat="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13" ht="12.75">
      <c r="A218" s="24"/>
      <c r="B218" s="31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</row>
    <row r="219" spans="1:256" ht="12.75">
      <c r="A219" s="24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  <c r="GZ219" s="24"/>
      <c r="HA219" s="24"/>
      <c r="HB219" s="24"/>
      <c r="HC219" s="24"/>
      <c r="HD219" s="24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24"/>
      <c r="HR219" s="24"/>
      <c r="HS219" s="24"/>
      <c r="HT219" s="24"/>
      <c r="HU219" s="24"/>
      <c r="HV219" s="24"/>
      <c r="HW219" s="24"/>
      <c r="HX219" s="24"/>
      <c r="HY219" s="24"/>
      <c r="HZ219" s="24"/>
      <c r="IA219" s="24"/>
      <c r="IB219" s="24"/>
      <c r="IC219" s="24"/>
      <c r="ID219" s="24"/>
      <c r="IE219" s="24"/>
      <c r="IF219" s="24"/>
      <c r="IG219" s="24"/>
      <c r="IH219" s="24"/>
      <c r="II219" s="24"/>
      <c r="IJ219" s="24"/>
      <c r="IK219" s="24"/>
      <c r="IL219" s="24"/>
      <c r="IM219" s="24"/>
      <c r="IN219" s="24"/>
      <c r="IO219" s="24"/>
      <c r="IP219" s="24"/>
      <c r="IQ219" s="24"/>
      <c r="IR219" s="24"/>
      <c r="IS219" s="24"/>
      <c r="IT219" s="24"/>
      <c r="IU219" s="24"/>
      <c r="IV219" s="24"/>
    </row>
    <row r="220" spans="1:256" ht="12.75">
      <c r="A220" s="24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  <c r="GZ220" s="24"/>
      <c r="HA220" s="24"/>
      <c r="HB220" s="24"/>
      <c r="HC220" s="24"/>
      <c r="HD220" s="24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24"/>
      <c r="HR220" s="24"/>
      <c r="HS220" s="24"/>
      <c r="HT220" s="24"/>
      <c r="HU220" s="24"/>
      <c r="HV220" s="24"/>
      <c r="HW220" s="24"/>
      <c r="HX220" s="24"/>
      <c r="HY220" s="24"/>
      <c r="HZ220" s="24"/>
      <c r="IA220" s="24"/>
      <c r="IB220" s="24"/>
      <c r="IC220" s="24"/>
      <c r="ID220" s="24"/>
      <c r="IE220" s="24"/>
      <c r="IF220" s="24"/>
      <c r="IG220" s="24"/>
      <c r="IH220" s="24"/>
      <c r="II220" s="24"/>
      <c r="IJ220" s="24"/>
      <c r="IK220" s="24"/>
      <c r="IL220" s="24"/>
      <c r="IM220" s="24"/>
      <c r="IN220" s="24"/>
      <c r="IO220" s="24"/>
      <c r="IP220" s="24"/>
      <c r="IQ220" s="24"/>
      <c r="IR220" s="24"/>
      <c r="IS220" s="24"/>
      <c r="IT220" s="24"/>
      <c r="IU220" s="24"/>
      <c r="IV220" s="24"/>
    </row>
    <row r="221" spans="1:26" ht="12.75">
      <c r="A221" s="24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56" ht="12.75">
      <c r="A222" s="24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  <c r="GX222" s="24"/>
      <c r="GY222" s="24"/>
      <c r="GZ222" s="24"/>
      <c r="HA222" s="24"/>
      <c r="HB222" s="24"/>
      <c r="HC222" s="24"/>
      <c r="HD222" s="24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24"/>
      <c r="HR222" s="24"/>
      <c r="HS222" s="24"/>
      <c r="HT222" s="24"/>
      <c r="HU222" s="24"/>
      <c r="HV222" s="24"/>
      <c r="HW222" s="24"/>
      <c r="HX222" s="24"/>
      <c r="HY222" s="24"/>
      <c r="HZ222" s="24"/>
      <c r="IA222" s="24"/>
      <c r="IB222" s="24"/>
      <c r="IC222" s="24"/>
      <c r="ID222" s="24"/>
      <c r="IE222" s="24"/>
      <c r="IF222" s="24"/>
      <c r="IG222" s="24"/>
      <c r="IH222" s="24"/>
      <c r="II222" s="24"/>
      <c r="IJ222" s="24"/>
      <c r="IK222" s="24"/>
      <c r="IL222" s="24"/>
      <c r="IM222" s="24"/>
      <c r="IN222" s="24"/>
      <c r="IO222" s="24"/>
      <c r="IP222" s="24"/>
      <c r="IQ222" s="24"/>
      <c r="IR222" s="24"/>
      <c r="IS222" s="24"/>
      <c r="IT222" s="24"/>
      <c r="IU222" s="24"/>
      <c r="IV222" s="24"/>
    </row>
    <row r="223" spans="1:26" ht="12.75">
      <c r="A223" s="2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56" ht="12.75">
      <c r="A224" s="2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4"/>
      <c r="GM224" s="24"/>
      <c r="GN224" s="24"/>
      <c r="GO224" s="24"/>
      <c r="GP224" s="24"/>
      <c r="GQ224" s="24"/>
      <c r="GR224" s="24"/>
      <c r="GS224" s="24"/>
      <c r="GT224" s="24"/>
      <c r="GU224" s="24"/>
      <c r="GV224" s="24"/>
      <c r="GW224" s="24"/>
      <c r="GX224" s="24"/>
      <c r="GY224" s="24"/>
      <c r="GZ224" s="24"/>
      <c r="HA224" s="24"/>
      <c r="HB224" s="24"/>
      <c r="HC224" s="24"/>
      <c r="HD224" s="24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24"/>
      <c r="HR224" s="24"/>
      <c r="HS224" s="24"/>
      <c r="HT224" s="24"/>
      <c r="HU224" s="24"/>
      <c r="HV224" s="24"/>
      <c r="HW224" s="24"/>
      <c r="HX224" s="24"/>
      <c r="HY224" s="24"/>
      <c r="HZ224" s="24"/>
      <c r="IA224" s="24"/>
      <c r="IB224" s="24"/>
      <c r="IC224" s="24"/>
      <c r="ID224" s="24"/>
      <c r="IE224" s="24"/>
      <c r="IF224" s="24"/>
      <c r="IG224" s="24"/>
      <c r="IH224" s="24"/>
      <c r="II224" s="24"/>
      <c r="IJ224" s="24"/>
      <c r="IK224" s="24"/>
      <c r="IL224" s="24"/>
      <c r="IM224" s="24"/>
      <c r="IN224" s="24"/>
      <c r="IO224" s="24"/>
      <c r="IP224" s="24"/>
      <c r="IQ224" s="24"/>
      <c r="IR224" s="24"/>
      <c r="IS224" s="24"/>
      <c r="IT224" s="24"/>
      <c r="IU224" s="24"/>
      <c r="IV224" s="24"/>
    </row>
    <row r="225" spans="1:256" ht="12.75">
      <c r="A225" s="24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 s="24"/>
      <c r="GV225" s="24"/>
      <c r="GW225" s="24"/>
      <c r="GX225" s="24"/>
      <c r="GY225" s="24"/>
      <c r="GZ225" s="24"/>
      <c r="HA225" s="24"/>
      <c r="HB225" s="24"/>
      <c r="HC225" s="24"/>
      <c r="HD225" s="24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24"/>
      <c r="HR225" s="24"/>
      <c r="HS225" s="24"/>
      <c r="HT225" s="24"/>
      <c r="HU225" s="24"/>
      <c r="HV225" s="24"/>
      <c r="HW225" s="24"/>
      <c r="HX225" s="24"/>
      <c r="HY225" s="24"/>
      <c r="HZ225" s="24"/>
      <c r="IA225" s="24"/>
      <c r="IB225" s="24"/>
      <c r="IC225" s="24"/>
      <c r="ID225" s="24"/>
      <c r="IE225" s="24"/>
      <c r="IF225" s="24"/>
      <c r="IG225" s="24"/>
      <c r="IH225" s="24"/>
      <c r="II225" s="24"/>
      <c r="IJ225" s="24"/>
      <c r="IK225" s="24"/>
      <c r="IL225" s="24"/>
      <c r="IM225" s="24"/>
      <c r="IN225" s="24"/>
      <c r="IO225" s="24"/>
      <c r="IP225" s="24"/>
      <c r="IQ225" s="24"/>
      <c r="IR225" s="24"/>
      <c r="IS225" s="24"/>
      <c r="IT225" s="24"/>
      <c r="IU225" s="24"/>
      <c r="IV225" s="24"/>
    </row>
    <row r="226" spans="1:256" ht="12.75">
      <c r="A226" s="24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24"/>
      <c r="HA226" s="24"/>
      <c r="HB226" s="24"/>
      <c r="HC226" s="24"/>
      <c r="HD226" s="24"/>
      <c r="HE226" s="24"/>
      <c r="HF226" s="24"/>
      <c r="HG226" s="24"/>
      <c r="HH226" s="24"/>
      <c r="HI226" s="24"/>
      <c r="HJ226" s="24"/>
      <c r="HK226" s="24"/>
      <c r="HL226" s="24"/>
      <c r="HM226" s="24"/>
      <c r="HN226" s="24"/>
      <c r="HO226" s="24"/>
      <c r="HP226" s="24"/>
      <c r="HQ226" s="24"/>
      <c r="HR226" s="24"/>
      <c r="HS226" s="24"/>
      <c r="HT226" s="24"/>
      <c r="HU226" s="24"/>
      <c r="HV226" s="24"/>
      <c r="HW226" s="24"/>
      <c r="HX226" s="24"/>
      <c r="HY226" s="24"/>
      <c r="HZ226" s="24"/>
      <c r="IA226" s="24"/>
      <c r="IB226" s="24"/>
      <c r="IC226" s="24"/>
      <c r="ID226" s="24"/>
      <c r="IE226" s="24"/>
      <c r="IF226" s="24"/>
      <c r="IG226" s="24"/>
      <c r="IH226" s="24"/>
      <c r="II226" s="24"/>
      <c r="IJ226" s="24"/>
      <c r="IK226" s="24"/>
      <c r="IL226" s="24"/>
      <c r="IM226" s="24"/>
      <c r="IN226" s="24"/>
      <c r="IO226" s="24"/>
      <c r="IP226" s="24"/>
      <c r="IQ226" s="24"/>
      <c r="IR226" s="24"/>
      <c r="IS226" s="24"/>
      <c r="IT226" s="24"/>
      <c r="IU226" s="24"/>
      <c r="IV226" s="24"/>
    </row>
    <row r="227" spans="1:256" ht="12.75">
      <c r="A227" s="24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4"/>
      <c r="GM227" s="24"/>
      <c r="GN227" s="24"/>
      <c r="GO227" s="24"/>
      <c r="GP227" s="24"/>
      <c r="GQ227" s="24"/>
      <c r="GR227" s="24"/>
      <c r="GS227" s="24"/>
      <c r="GT227" s="24"/>
      <c r="GU227" s="24"/>
      <c r="GV227" s="24"/>
      <c r="GW227" s="24"/>
      <c r="GX227" s="24"/>
      <c r="GY227" s="24"/>
      <c r="GZ227" s="24"/>
      <c r="HA227" s="24"/>
      <c r="HB227" s="24"/>
      <c r="HC227" s="24"/>
      <c r="HD227" s="24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24"/>
      <c r="HR227" s="24"/>
      <c r="HS227" s="24"/>
      <c r="HT227" s="24"/>
      <c r="HU227" s="24"/>
      <c r="HV227" s="24"/>
      <c r="HW227" s="24"/>
      <c r="HX227" s="24"/>
      <c r="HY227" s="24"/>
      <c r="HZ227" s="24"/>
      <c r="IA227" s="24"/>
      <c r="IB227" s="24"/>
      <c r="IC227" s="24"/>
      <c r="ID227" s="24"/>
      <c r="IE227" s="24"/>
      <c r="IF227" s="24"/>
      <c r="IG227" s="24"/>
      <c r="IH227" s="24"/>
      <c r="II227" s="24"/>
      <c r="IJ227" s="24"/>
      <c r="IK227" s="24"/>
      <c r="IL227" s="24"/>
      <c r="IM227" s="24"/>
      <c r="IN227" s="24"/>
      <c r="IO227" s="24"/>
      <c r="IP227" s="24"/>
      <c r="IQ227" s="24"/>
      <c r="IR227" s="24"/>
      <c r="IS227" s="24"/>
      <c r="IT227" s="24"/>
      <c r="IU227" s="24"/>
      <c r="IV227" s="24"/>
    </row>
    <row r="228" spans="1:256" ht="12.75">
      <c r="A228" s="24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4"/>
      <c r="HU228" s="24"/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  <c r="IH228" s="24"/>
      <c r="II228" s="24"/>
      <c r="IJ228" s="24"/>
      <c r="IK228" s="24"/>
      <c r="IL228" s="24"/>
      <c r="IM228" s="24"/>
      <c r="IN228" s="24"/>
      <c r="IO228" s="24"/>
      <c r="IP228" s="24"/>
      <c r="IQ228" s="24"/>
      <c r="IR228" s="24"/>
      <c r="IS228" s="24"/>
      <c r="IT228" s="24"/>
      <c r="IU228" s="24"/>
      <c r="IV228" s="24"/>
    </row>
    <row r="229" spans="1:13" ht="12.75">
      <c r="A229" s="24"/>
      <c r="B229" s="31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</row>
    <row r="230" spans="1:256" ht="12.75">
      <c r="A230" s="28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  <c r="IR230" s="24"/>
      <c r="IS230" s="24"/>
      <c r="IT230" s="24"/>
      <c r="IU230" s="24"/>
      <c r="IV230" s="24"/>
    </row>
    <row r="231" spans="2:13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</row>
    <row r="232" spans="1:256" ht="12.75">
      <c r="A232" s="15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  <c r="IR232" s="24"/>
      <c r="IS232" s="24"/>
      <c r="IT232" s="24"/>
      <c r="IU232" s="24"/>
      <c r="IV232" s="24"/>
    </row>
    <row r="233" spans="2:13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</row>
    <row r="234" spans="2:256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4"/>
      <c r="HU234" s="24"/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  <c r="IR234" s="24"/>
      <c r="IS234" s="24"/>
      <c r="IT234" s="24"/>
      <c r="IU234" s="24"/>
      <c r="IV234" s="24"/>
    </row>
    <row r="235" spans="2:13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</row>
    <row r="236" spans="2:13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</row>
    <row r="237" spans="2:13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</row>
    <row r="238" spans="2:13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</row>
    <row r="239" spans="2:13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</row>
    <row r="240" spans="2:13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</row>
    <row r="241" spans="2:13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</row>
    <row r="242" spans="2:13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</row>
    <row r="243" spans="2:13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</row>
    <row r="244" spans="2:13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</row>
    <row r="245" spans="2:13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</row>
    <row r="246" spans="2:13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</row>
    <row r="247" spans="2:13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</row>
    <row r="248" spans="2:13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</row>
    <row r="249" spans="2:13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</row>
    <row r="250" spans="2:13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</row>
    <row r="251" spans="2:13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</row>
    <row r="252" spans="2:13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</row>
    <row r="253" spans="2:13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</row>
    <row r="254" spans="2:13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</row>
    <row r="255" spans="2:13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</row>
    <row r="256" spans="2:13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</row>
    <row r="257" spans="2:13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</row>
  </sheetData>
  <mergeCells count="13">
    <mergeCell ref="A1:C1"/>
    <mergeCell ref="B12:I12"/>
    <mergeCell ref="B23:J23"/>
    <mergeCell ref="B30:K30"/>
    <mergeCell ref="B138:K138"/>
    <mergeCell ref="B49:J49"/>
    <mergeCell ref="B63:K63"/>
    <mergeCell ref="B76:J76"/>
    <mergeCell ref="C122:M122"/>
    <mergeCell ref="B100:K100"/>
    <mergeCell ref="D101:K101"/>
    <mergeCell ref="E108:K108"/>
    <mergeCell ref="D115:M11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L69" sqref="L6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2:F32"/>
  <sheetViews>
    <sheetView workbookViewId="0" topLeftCell="A13">
      <selection activeCell="F36" sqref="F36"/>
    </sheetView>
  </sheetViews>
  <sheetFormatPr defaultColWidth="9.00390625" defaultRowHeight="12.75"/>
  <sheetData>
    <row r="32" spans="3:6" ht="12.75">
      <c r="C32" s="15"/>
      <c r="D32" s="15"/>
      <c r="E32" s="15"/>
      <c r="F32" s="15"/>
    </row>
  </sheetData>
  <printOptions/>
  <pageMargins left="0.3937007874015748" right="0.3937007874015748" top="0.984251968503937" bottom="0.98425196850393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</dc:creator>
  <cp:keywords/>
  <dc:description/>
  <cp:lastModifiedBy>Alyushin</cp:lastModifiedBy>
  <cp:lastPrinted>2005-03-22T14:08:08Z</cp:lastPrinted>
  <dcterms:created xsi:type="dcterms:W3CDTF">2005-03-10T16:50:24Z</dcterms:created>
  <dcterms:modified xsi:type="dcterms:W3CDTF">2005-09-01T16:00:45Z</dcterms:modified>
  <cp:category/>
  <cp:version/>
  <cp:contentType/>
  <cp:contentStatus/>
</cp:coreProperties>
</file>