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4275" windowWidth="8505" windowHeight="7395" activeTab="0"/>
  </bookViews>
  <sheets>
    <sheet name="расчет" sheetId="1" r:id="rId1"/>
    <sheet name="диаграммы" sheetId="2" r:id="rId2"/>
    <sheet name="Adress" sheetId="3" r:id="rId3"/>
    <sheet name="СХЕМ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ES</author>
  </authors>
  <commentList>
    <comment ref="A3" authorId="0">
      <text>
        <r>
          <rPr>
            <b/>
            <sz val="8"/>
            <rFont val="Tahoma"/>
            <family val="0"/>
          </rPr>
          <t>ES:</t>
        </r>
        <r>
          <rPr>
            <sz val="8"/>
            <rFont val="Tahoma"/>
            <family val="0"/>
          </rPr>
          <t xml:space="preserve">
Начальный угол поворота кривошипа ОА относительно оси Х</t>
        </r>
      </text>
    </comment>
    <comment ref="R3" authorId="0">
      <text>
        <r>
          <rPr>
            <b/>
            <sz val="8"/>
            <rFont val="Tahoma"/>
            <family val="0"/>
          </rPr>
          <t>Технологическая сила ползуна G
включение - 1
выключение - 0</t>
        </r>
      </text>
    </comment>
    <comment ref="R4" authorId="0">
      <text>
        <r>
          <rPr>
            <b/>
            <sz val="8"/>
            <rFont val="Tahoma"/>
            <family val="0"/>
          </rPr>
          <t>Технологическая сила ползуна N
включение - 1
выключение -0</t>
        </r>
      </text>
    </comment>
  </commentList>
</comments>
</file>

<file path=xl/sharedStrings.xml><?xml version="1.0" encoding="utf-8"?>
<sst xmlns="http://schemas.openxmlformats.org/spreadsheetml/2006/main" count="490" uniqueCount="440">
  <si>
    <t>Селянин Е.В. ГГ- 1 - 01</t>
  </si>
  <si>
    <r>
      <t>φ</t>
    </r>
    <r>
      <rPr>
        <sz val="6"/>
        <rFont val="Arial Cyr"/>
        <family val="0"/>
      </rPr>
      <t>0</t>
    </r>
    <r>
      <rPr>
        <sz val="10"/>
        <rFont val="Arial Cyr"/>
        <family val="0"/>
      </rPr>
      <t>˚ =</t>
    </r>
  </si>
  <si>
    <t>Δφ˚ =</t>
  </si>
  <si>
    <t>L1 =</t>
  </si>
  <si>
    <t>L2 =</t>
  </si>
  <si>
    <t>L3 =</t>
  </si>
  <si>
    <t>L4 =</t>
  </si>
  <si>
    <t>L5 =</t>
  </si>
  <si>
    <t>αA =</t>
  </si>
  <si>
    <t>βA =</t>
  </si>
  <si>
    <t>αB =</t>
  </si>
  <si>
    <t>βB =</t>
  </si>
  <si>
    <t>a =</t>
  </si>
  <si>
    <t>b =</t>
  </si>
  <si>
    <r>
      <t>φ</t>
    </r>
    <r>
      <rPr>
        <sz val="6"/>
        <rFont val="Arial Cyr"/>
        <family val="0"/>
      </rPr>
      <t>t</t>
    </r>
    <r>
      <rPr>
        <sz val="10"/>
        <rFont val="Arial Cyr"/>
        <family val="0"/>
      </rPr>
      <t xml:space="preserve"> =</t>
    </r>
  </si>
  <si>
    <r>
      <t>φ</t>
    </r>
    <r>
      <rPr>
        <sz val="6"/>
        <rFont val="Arial Cyr"/>
        <family val="0"/>
      </rPr>
      <t>i</t>
    </r>
    <r>
      <rPr>
        <sz val="10"/>
        <rFont val="Arial Cyr"/>
        <family val="0"/>
      </rPr>
      <t>˚ =</t>
    </r>
  </si>
  <si>
    <r>
      <t>φ</t>
    </r>
    <r>
      <rPr>
        <sz val="6"/>
        <rFont val="Arial Cyr"/>
        <family val="0"/>
      </rPr>
      <t>i</t>
    </r>
    <r>
      <rPr>
        <sz val="10"/>
        <rFont val="Arial Cyr"/>
        <family val="0"/>
      </rPr>
      <t>-φ</t>
    </r>
    <r>
      <rPr>
        <sz val="6"/>
        <rFont val="Arial Cyr"/>
        <family val="0"/>
      </rPr>
      <t>0</t>
    </r>
  </si>
  <si>
    <t>xA =</t>
  </si>
  <si>
    <t>yA =</t>
  </si>
  <si>
    <t>xAt =</t>
  </si>
  <si>
    <t>yAt =</t>
  </si>
  <si>
    <t>xAtt =</t>
  </si>
  <si>
    <t>yAtt =</t>
  </si>
  <si>
    <t>φtt =</t>
  </si>
  <si>
    <t>P =</t>
  </si>
  <si>
    <t>Q =</t>
  </si>
  <si>
    <t>z =</t>
  </si>
  <si>
    <t>Д =</t>
  </si>
  <si>
    <t>F =</t>
  </si>
  <si>
    <t>Ψ =</t>
  </si>
  <si>
    <t>ξ =</t>
  </si>
  <si>
    <t>Δt =</t>
  </si>
  <si>
    <r>
      <t>sin(φi-φ</t>
    </r>
    <r>
      <rPr>
        <sz val="6"/>
        <rFont val="Arial Cyr"/>
        <family val="0"/>
      </rPr>
      <t>0</t>
    </r>
    <r>
      <rPr>
        <sz val="10"/>
        <rFont val="Arial Cyr"/>
        <family val="0"/>
      </rPr>
      <t>)</t>
    </r>
  </si>
  <si>
    <r>
      <t>cos(φi-φ</t>
    </r>
    <r>
      <rPr>
        <sz val="6"/>
        <rFont val="Arial Cyr"/>
        <family val="0"/>
      </rPr>
      <t>0</t>
    </r>
    <r>
      <rPr>
        <sz val="10"/>
        <rFont val="Arial Cyr"/>
        <family val="0"/>
      </rPr>
      <t>)</t>
    </r>
  </si>
  <si>
    <t>Ψt =</t>
  </si>
  <si>
    <t>ξt =</t>
  </si>
  <si>
    <r>
      <t>φ</t>
    </r>
    <r>
      <rPr>
        <sz val="6"/>
        <rFont val="Arial Cyr"/>
        <family val="0"/>
      </rPr>
      <t>irad</t>
    </r>
    <r>
      <rPr>
        <sz val="10"/>
        <rFont val="Arial Cyr"/>
        <family val="0"/>
      </rPr>
      <t xml:space="preserve"> =</t>
    </r>
  </si>
  <si>
    <r>
      <t>f</t>
    </r>
    <r>
      <rPr>
        <sz val="6"/>
        <rFont val="Arial Cyr"/>
        <family val="0"/>
      </rPr>
      <t>1</t>
    </r>
    <r>
      <rPr>
        <sz val="10"/>
        <rFont val="Arial Cyr"/>
        <family val="0"/>
      </rPr>
      <t xml:space="preserve"> =</t>
    </r>
  </si>
  <si>
    <r>
      <t>f</t>
    </r>
    <r>
      <rPr>
        <sz val="6"/>
        <rFont val="Arial Cyr"/>
        <family val="0"/>
      </rPr>
      <t>2</t>
    </r>
    <r>
      <rPr>
        <sz val="10"/>
        <rFont val="Arial Cyr"/>
        <family val="0"/>
      </rPr>
      <t xml:space="preserve"> =</t>
    </r>
  </si>
  <si>
    <t>Ψtt =</t>
  </si>
  <si>
    <t>ξtt =</t>
  </si>
  <si>
    <t>xB =</t>
  </si>
  <si>
    <t>yB =</t>
  </si>
  <si>
    <t>xBt =</t>
  </si>
  <si>
    <t>yBt =</t>
  </si>
  <si>
    <t>xBtt =</t>
  </si>
  <si>
    <t>yBtt =</t>
  </si>
  <si>
    <t>η˚ =</t>
  </si>
  <si>
    <t>αD =</t>
  </si>
  <si>
    <t>βD =</t>
  </si>
  <si>
    <t>xD =</t>
  </si>
  <si>
    <t>yD =</t>
  </si>
  <si>
    <t>xDt =</t>
  </si>
  <si>
    <t>yDt =</t>
  </si>
  <si>
    <t>xDtt =</t>
  </si>
  <si>
    <t>yDtt =</t>
  </si>
  <si>
    <t>g =</t>
  </si>
  <si>
    <t>κ˚ =</t>
  </si>
  <si>
    <t>p =</t>
  </si>
  <si>
    <r>
      <t>κ</t>
    </r>
    <r>
      <rPr>
        <sz val="6"/>
        <rFont val="Arial Cyr"/>
        <family val="0"/>
      </rPr>
      <t>rad</t>
    </r>
    <r>
      <rPr>
        <sz val="10"/>
        <rFont val="Arial Cyr"/>
        <family val="0"/>
      </rPr>
      <t xml:space="preserve"> =</t>
    </r>
  </si>
  <si>
    <t>tg(θ/2)</t>
  </si>
  <si>
    <t>θ =</t>
  </si>
  <si>
    <t>θt =</t>
  </si>
  <si>
    <t>θtt =</t>
  </si>
  <si>
    <t>xG =</t>
  </si>
  <si>
    <t>yG =</t>
  </si>
  <si>
    <t>η+ξ=ζ=</t>
  </si>
  <si>
    <t>Teta-1=</t>
  </si>
  <si>
    <t>x-6=</t>
  </si>
  <si>
    <t>Ψгр =</t>
  </si>
  <si>
    <t>ξгр =</t>
  </si>
  <si>
    <t>αG =</t>
  </si>
  <si>
    <t>βG =</t>
  </si>
  <si>
    <t>xGt =</t>
  </si>
  <si>
    <t>yGt =</t>
  </si>
  <si>
    <t>xGtt =</t>
  </si>
  <si>
    <t>yGtt =</t>
  </si>
  <si>
    <t>m =</t>
  </si>
  <si>
    <t>e˚ =</t>
  </si>
  <si>
    <t>αN =</t>
  </si>
  <si>
    <t>βN =</t>
  </si>
  <si>
    <r>
      <t xml:space="preserve">e </t>
    </r>
    <r>
      <rPr>
        <sz val="6"/>
        <rFont val="Arial Cyr"/>
        <family val="0"/>
      </rPr>
      <t>rad</t>
    </r>
    <r>
      <rPr>
        <sz val="10"/>
        <rFont val="Arial Cyr"/>
        <family val="0"/>
      </rPr>
      <t xml:space="preserve"> =</t>
    </r>
  </si>
  <si>
    <t>tg(e) =</t>
  </si>
  <si>
    <t>xN =</t>
  </si>
  <si>
    <t>yN =</t>
  </si>
  <si>
    <t>m+a*sin(e) =</t>
  </si>
  <si>
    <t>xNt =</t>
  </si>
  <si>
    <t>yNt =</t>
  </si>
  <si>
    <t>xNtt =</t>
  </si>
  <si>
    <t>yNtt =</t>
  </si>
  <si>
    <t>xM =</t>
  </si>
  <si>
    <t>yM =</t>
  </si>
  <si>
    <t>xMt =</t>
  </si>
  <si>
    <t>yMt =</t>
  </si>
  <si>
    <t>xMtt =</t>
  </si>
  <si>
    <t>yMtt =</t>
  </si>
  <si>
    <t>h1 =</t>
  </si>
  <si>
    <t>h2 =</t>
  </si>
  <si>
    <t>αM =</t>
  </si>
  <si>
    <t>βM =</t>
  </si>
  <si>
    <t>R^2=</t>
  </si>
  <si>
    <t>Временные параметры</t>
  </si>
  <si>
    <t>Кривошип ОА</t>
  </si>
  <si>
    <t>Вычисление углов, угловых скоростей и ускорений шатуна 2.</t>
  </si>
  <si>
    <t>Точка G</t>
  </si>
  <si>
    <t>Точка M</t>
  </si>
  <si>
    <t>Центры масс</t>
  </si>
  <si>
    <t>xC1 =</t>
  </si>
  <si>
    <t>yC1 =</t>
  </si>
  <si>
    <t>xC1t =</t>
  </si>
  <si>
    <t>yC1t =</t>
  </si>
  <si>
    <t>xC1tt =</t>
  </si>
  <si>
    <t>yC1tt =</t>
  </si>
  <si>
    <t>αC1 =</t>
  </si>
  <si>
    <t>βC1 =</t>
  </si>
  <si>
    <t>xC2 =</t>
  </si>
  <si>
    <t>yC2 =</t>
  </si>
  <si>
    <t>xC2t =</t>
  </si>
  <si>
    <t>yC2t =</t>
  </si>
  <si>
    <t>xC2tt =</t>
  </si>
  <si>
    <t>yC2tt =</t>
  </si>
  <si>
    <t>αC2 =</t>
  </si>
  <si>
    <t>βC2 =</t>
  </si>
  <si>
    <t>αC3 =</t>
  </si>
  <si>
    <t>βC3 =</t>
  </si>
  <si>
    <t>αC4 =</t>
  </si>
  <si>
    <t>βC4 =</t>
  </si>
  <si>
    <t>αC5 =</t>
  </si>
  <si>
    <t>βC5 =</t>
  </si>
  <si>
    <t>αC6 =</t>
  </si>
  <si>
    <t>βC6 =</t>
  </si>
  <si>
    <t>αC7 =</t>
  </si>
  <si>
    <t>βC7 =</t>
  </si>
  <si>
    <t>Кривошипа ОА</t>
  </si>
  <si>
    <t>Шатуна АВ</t>
  </si>
  <si>
    <t>xC3 =</t>
  </si>
  <si>
    <t>yC3 =</t>
  </si>
  <si>
    <t>yC3t =</t>
  </si>
  <si>
    <t>xC3tt =</t>
  </si>
  <si>
    <t>yC3tt =</t>
  </si>
  <si>
    <t>xC3t =</t>
  </si>
  <si>
    <t>xC4 =</t>
  </si>
  <si>
    <t>yC4 =</t>
  </si>
  <si>
    <t>xC4t =</t>
  </si>
  <si>
    <t>yC4t =</t>
  </si>
  <si>
    <t>xC4tt =</t>
  </si>
  <si>
    <t>yC4tt =</t>
  </si>
  <si>
    <t>Шатуна DG</t>
  </si>
  <si>
    <t>xC5 =</t>
  </si>
  <si>
    <t>yC5 =</t>
  </si>
  <si>
    <t>xC5t =</t>
  </si>
  <si>
    <t>yC5t =</t>
  </si>
  <si>
    <t>xC5tt =</t>
  </si>
  <si>
    <t>yC5tt =</t>
  </si>
  <si>
    <t>tg(ξ)-tg(e)=</t>
  </si>
  <si>
    <t>Энергетический анализ</t>
  </si>
  <si>
    <t>Ek1 =</t>
  </si>
  <si>
    <t>Fx1 =</t>
  </si>
  <si>
    <t>Fy1 =</t>
  </si>
  <si>
    <t>M1 =</t>
  </si>
  <si>
    <t>m1 =</t>
  </si>
  <si>
    <t>m2 =</t>
  </si>
  <si>
    <t>m3 =</t>
  </si>
  <si>
    <t>m4 =</t>
  </si>
  <si>
    <t>m5 =</t>
  </si>
  <si>
    <t>m6 =</t>
  </si>
  <si>
    <t>m7 =</t>
  </si>
  <si>
    <t>J1 =</t>
  </si>
  <si>
    <t>J2 =</t>
  </si>
  <si>
    <t>J3 =</t>
  </si>
  <si>
    <t>J4 =</t>
  </si>
  <si>
    <t>J5 =</t>
  </si>
  <si>
    <t>J6 =</t>
  </si>
  <si>
    <t>J7 =</t>
  </si>
  <si>
    <t>Ek2 =</t>
  </si>
  <si>
    <t>Fx2 =</t>
  </si>
  <si>
    <t>Fy2 =</t>
  </si>
  <si>
    <t>M2 =</t>
  </si>
  <si>
    <t>Ek3 =</t>
  </si>
  <si>
    <t>Fx3 =</t>
  </si>
  <si>
    <t>Fy3 =</t>
  </si>
  <si>
    <t>M3 =</t>
  </si>
  <si>
    <t>Ek4 =</t>
  </si>
  <si>
    <t>Fx4 =</t>
  </si>
  <si>
    <t>Fy4 =</t>
  </si>
  <si>
    <t>M4 =</t>
  </si>
  <si>
    <t>Ek5 =</t>
  </si>
  <si>
    <t>Fx5 =</t>
  </si>
  <si>
    <t>Fy5 =</t>
  </si>
  <si>
    <t>M5 =</t>
  </si>
  <si>
    <t>Ek6 =</t>
  </si>
  <si>
    <t>Fx6 =</t>
  </si>
  <si>
    <t>Fy6 =</t>
  </si>
  <si>
    <t>M6 =</t>
  </si>
  <si>
    <t>Ek7 =</t>
  </si>
  <si>
    <t>Fx7 =</t>
  </si>
  <si>
    <t>Fy7 =</t>
  </si>
  <si>
    <t>M7 =</t>
  </si>
  <si>
    <t>Wk1 =</t>
  </si>
  <si>
    <t>Wp1 =</t>
  </si>
  <si>
    <t>Wk2 =</t>
  </si>
  <si>
    <t>Wp2 =</t>
  </si>
  <si>
    <t>Wk3 =</t>
  </si>
  <si>
    <t>Wp3 =</t>
  </si>
  <si>
    <t>Wk4 =</t>
  </si>
  <si>
    <t>Wp4 =</t>
  </si>
  <si>
    <t>Wk5 =</t>
  </si>
  <si>
    <t>Wp5 =</t>
  </si>
  <si>
    <t>Wk6 =</t>
  </si>
  <si>
    <t>Wp6 =</t>
  </si>
  <si>
    <t>Wk7 =</t>
  </si>
  <si>
    <t>Wp7 =</t>
  </si>
  <si>
    <r>
      <t>φ</t>
    </r>
    <r>
      <rPr>
        <sz val="6"/>
        <rFont val="Arial Cyr"/>
        <family val="0"/>
      </rPr>
      <t>t 0</t>
    </r>
    <r>
      <rPr>
        <sz val="10"/>
        <rFont val="Arial Cyr"/>
        <family val="0"/>
      </rPr>
      <t xml:space="preserve"> =</t>
    </r>
  </si>
  <si>
    <t>yN -4,5=</t>
  </si>
  <si>
    <t>yNtt Old=</t>
  </si>
  <si>
    <t>αC8 =</t>
  </si>
  <si>
    <t>βC8 =</t>
  </si>
  <si>
    <t>m8 =</t>
  </si>
  <si>
    <t>J8 =</t>
  </si>
  <si>
    <t>xC6 =</t>
  </si>
  <si>
    <t>yC6 =</t>
  </si>
  <si>
    <t>xC6t =</t>
  </si>
  <si>
    <t>yC6t =</t>
  </si>
  <si>
    <t>xC6tt =</t>
  </si>
  <si>
    <t>yC6tt =</t>
  </si>
  <si>
    <t>xC7 =</t>
  </si>
  <si>
    <t>yC7 =</t>
  </si>
  <si>
    <t>xC7t =</t>
  </si>
  <si>
    <t>yC7t =</t>
  </si>
  <si>
    <t>xC7tt =</t>
  </si>
  <si>
    <t>yC7tt =</t>
  </si>
  <si>
    <t>xC8 =</t>
  </si>
  <si>
    <t>yC8 =</t>
  </si>
  <si>
    <t>xC8t =</t>
  </si>
  <si>
    <t>yC8t =</t>
  </si>
  <si>
    <t>xC8tt =</t>
  </si>
  <si>
    <t>yC8tt =</t>
  </si>
  <si>
    <t>Ползун G</t>
  </si>
  <si>
    <t>Ползун N</t>
  </si>
  <si>
    <t>Ползушка М</t>
  </si>
  <si>
    <t>Ek8 =</t>
  </si>
  <si>
    <t>Fx8 =</t>
  </si>
  <si>
    <t>Fy8 =</t>
  </si>
  <si>
    <t>M8 =</t>
  </si>
  <si>
    <t>Wk8 =</t>
  </si>
  <si>
    <t>Wp8 =</t>
  </si>
  <si>
    <t>Момент холостого хода</t>
  </si>
  <si>
    <t>Силовой анализ</t>
  </si>
  <si>
    <t>TxG =</t>
  </si>
  <si>
    <t>TyG =</t>
  </si>
  <si>
    <t>TxN =</t>
  </si>
  <si>
    <t>TyN =</t>
  </si>
  <si>
    <t>QxG =</t>
  </si>
  <si>
    <t>QyG =</t>
  </si>
  <si>
    <t>QxN =</t>
  </si>
  <si>
    <t>QyN =</t>
  </si>
  <si>
    <t>QxN΄ =</t>
  </si>
  <si>
    <t>QyN΄ =</t>
  </si>
  <si>
    <t>MN΄ =</t>
  </si>
  <si>
    <t>Шатун DG</t>
  </si>
  <si>
    <t>QxD =</t>
  </si>
  <si>
    <t>QyD =</t>
  </si>
  <si>
    <t>MD =</t>
  </si>
  <si>
    <t>QxN΄΄ =</t>
  </si>
  <si>
    <t>QyN΄΄ =</t>
  </si>
  <si>
    <t>MN΄΄ =</t>
  </si>
  <si>
    <t>QxB =</t>
  </si>
  <si>
    <t>QyB =</t>
  </si>
  <si>
    <t>MB =</t>
  </si>
  <si>
    <t>Шатун АВ</t>
  </si>
  <si>
    <t>MB΄ =</t>
  </si>
  <si>
    <t>QxA =</t>
  </si>
  <si>
    <t>QyA =</t>
  </si>
  <si>
    <t>MA =</t>
  </si>
  <si>
    <t>MA΄ =</t>
  </si>
  <si>
    <t>MO =</t>
  </si>
  <si>
    <t>TG</t>
  </si>
  <si>
    <t>TN</t>
  </si>
  <si>
    <t>TG =</t>
  </si>
  <si>
    <t>TN =</t>
  </si>
  <si>
    <t>G =</t>
  </si>
  <si>
    <t>шатун 1</t>
  </si>
  <si>
    <t>Центроиды - МЦС, МЦУ</t>
  </si>
  <si>
    <t>Хмцс</t>
  </si>
  <si>
    <t>Yмцу</t>
  </si>
  <si>
    <t>Yмцc</t>
  </si>
  <si>
    <t>Xмцу</t>
  </si>
  <si>
    <t>xNt΄ =</t>
  </si>
  <si>
    <t>yNt΄ =</t>
  </si>
  <si>
    <t>шатун 2</t>
  </si>
  <si>
    <r>
      <t>Коромысло О</t>
    </r>
    <r>
      <rPr>
        <sz val="6"/>
        <color indexed="43"/>
        <rFont val="Arial Cyr"/>
        <family val="0"/>
      </rPr>
      <t>1</t>
    </r>
    <r>
      <rPr>
        <sz val="10"/>
        <color indexed="43"/>
        <rFont val="Arial Cyr"/>
        <family val="0"/>
      </rPr>
      <t>DB</t>
    </r>
  </si>
  <si>
    <r>
      <t>Коромысла О</t>
    </r>
    <r>
      <rPr>
        <sz val="6"/>
        <color indexed="43"/>
        <rFont val="Arial Cyr"/>
        <family val="0"/>
      </rPr>
      <t>1</t>
    </r>
    <r>
      <rPr>
        <sz val="10"/>
        <color indexed="43"/>
        <rFont val="Arial Cyr"/>
        <family val="0"/>
      </rPr>
      <t>D</t>
    </r>
  </si>
  <si>
    <r>
      <t>Коромысла О</t>
    </r>
    <r>
      <rPr>
        <sz val="6"/>
        <color indexed="43"/>
        <rFont val="Arial Cyr"/>
        <family val="0"/>
      </rPr>
      <t>1</t>
    </r>
    <r>
      <rPr>
        <sz val="10"/>
        <color indexed="43"/>
        <rFont val="Arial Cyr"/>
        <family val="0"/>
      </rPr>
      <t>В</t>
    </r>
  </si>
  <si>
    <r>
      <t>Коромысла О</t>
    </r>
    <r>
      <rPr>
        <sz val="6"/>
        <color indexed="51"/>
        <rFont val="Arial Cyr"/>
        <family val="0"/>
      </rPr>
      <t>1</t>
    </r>
    <r>
      <rPr>
        <sz val="10"/>
        <color indexed="51"/>
        <rFont val="Arial Cyr"/>
        <family val="0"/>
      </rPr>
      <t>В</t>
    </r>
  </si>
  <si>
    <r>
      <t>Коромысла О</t>
    </r>
    <r>
      <rPr>
        <sz val="6"/>
        <color indexed="51"/>
        <rFont val="Arial Cyr"/>
        <family val="0"/>
      </rPr>
      <t>1</t>
    </r>
    <r>
      <rPr>
        <sz val="10"/>
        <color indexed="51"/>
        <rFont val="Arial Cyr"/>
        <family val="0"/>
      </rPr>
      <t>D</t>
    </r>
  </si>
  <si>
    <t>проверка</t>
  </si>
  <si>
    <t>Точка В через А</t>
  </si>
  <si>
    <t>Точка В через О1</t>
  </si>
  <si>
    <t>Точка D by O1</t>
  </si>
  <si>
    <t>L(GD)</t>
  </si>
  <si>
    <t>Точка N polzuna</t>
  </si>
  <si>
    <t>Skorosti N  on koromysle</t>
  </si>
  <si>
    <t>Nt΄ через О1</t>
  </si>
  <si>
    <r>
      <t xml:space="preserve"> М</t>
    </r>
    <r>
      <rPr>
        <sz val="6"/>
        <color indexed="60"/>
        <rFont val="Arial Cyr"/>
        <family val="0"/>
      </rPr>
      <t>р</t>
    </r>
    <r>
      <rPr>
        <sz val="10"/>
        <color indexed="60"/>
        <rFont val="Arial Cyr"/>
        <family val="0"/>
      </rPr>
      <t xml:space="preserve"> момент от потенциальных сил (через мощность)</t>
    </r>
  </si>
  <si>
    <t>SumWpot</t>
  </si>
  <si>
    <t>SumWkin</t>
  </si>
  <si>
    <t>SumW</t>
  </si>
  <si>
    <t>Mo=</t>
  </si>
  <si>
    <t>(Mo)p =</t>
  </si>
  <si>
    <t>Mo(Wkin)=</t>
  </si>
  <si>
    <t>(mg)6=</t>
  </si>
  <si>
    <t>QyG old=</t>
  </si>
  <si>
    <t>QyN old=</t>
  </si>
  <si>
    <t>(mg)7=</t>
  </si>
  <si>
    <t>(mg)8=</t>
  </si>
  <si>
    <t>W(TG)=</t>
  </si>
  <si>
    <t>W(TN)=</t>
  </si>
  <si>
    <t>Pr-kaW</t>
  </si>
  <si>
    <t>Pr-ka TG</t>
  </si>
  <si>
    <t>(mg)5</t>
  </si>
  <si>
    <t>(mg)4=</t>
  </si>
  <si>
    <t>(mg)3=</t>
  </si>
  <si>
    <t>Pr-kaW N</t>
  </si>
  <si>
    <t>M(D)΄ =</t>
  </si>
  <si>
    <t>x4&amp;3</t>
  </si>
  <si>
    <t>y4&amp;4</t>
  </si>
  <si>
    <t>m4&amp;5</t>
  </si>
  <si>
    <t>Pr-kaW34</t>
  </si>
  <si>
    <t>Pr-ka</t>
  </si>
  <si>
    <t>Проверка по частям</t>
  </si>
  <si>
    <t>DG</t>
  </si>
  <si>
    <t>MN</t>
  </si>
  <si>
    <t>Zv 3&amp;4</t>
  </si>
  <si>
    <r>
      <t>Определение углов, угловых скоростей и ускорений шатуна AB=zveno 2 и коромысла О</t>
    </r>
    <r>
      <rPr>
        <sz val="6"/>
        <rFont val="Arial Cyr"/>
        <family val="0"/>
      </rPr>
      <t>1</t>
    </r>
    <r>
      <rPr>
        <sz val="10"/>
        <rFont val="Arial Cyr"/>
        <family val="0"/>
      </rPr>
      <t>В.</t>
    </r>
  </si>
  <si>
    <t>(mg)2=</t>
  </si>
  <si>
    <t>(mg)1=</t>
  </si>
  <si>
    <t>Pr-kaW A</t>
  </si>
  <si>
    <t>NxO =</t>
  </si>
  <si>
    <t>NyO =</t>
  </si>
  <si>
    <t>Pr-kaW O</t>
  </si>
  <si>
    <t>Потенциальные силы</t>
  </si>
  <si>
    <t>Силы реактивные и пассивные</t>
  </si>
  <si>
    <t>Rx)D=</t>
  </si>
  <si>
    <t>Ry)D=</t>
  </si>
  <si>
    <t>x</t>
  </si>
  <si>
    <t>y</t>
  </si>
  <si>
    <t>xt</t>
  </si>
  <si>
    <t>yt</t>
  </si>
  <si>
    <t>xtt</t>
  </si>
  <si>
    <t>ytt</t>
  </si>
  <si>
    <t>O</t>
  </si>
  <si>
    <t>A</t>
  </si>
  <si>
    <t>B</t>
  </si>
  <si>
    <t>D</t>
  </si>
  <si>
    <t>G</t>
  </si>
  <si>
    <t>Npolz-ki</t>
  </si>
  <si>
    <t>Nkor</t>
  </si>
  <si>
    <t>M</t>
  </si>
  <si>
    <t>C1</t>
  </si>
  <si>
    <t>C2</t>
  </si>
  <si>
    <t>C3</t>
  </si>
  <si>
    <t>C4</t>
  </si>
  <si>
    <t>C5</t>
  </si>
  <si>
    <t>C6</t>
  </si>
  <si>
    <t>C7</t>
  </si>
  <si>
    <t>C8</t>
  </si>
  <si>
    <t>g=</t>
  </si>
  <si>
    <t>S5</t>
  </si>
  <si>
    <t>Wk</t>
  </si>
  <si>
    <t>Wp</t>
  </si>
  <si>
    <t>Q</t>
  </si>
  <si>
    <t>Qx/Fx</t>
  </si>
  <si>
    <t>Qy/Fy</t>
  </si>
  <si>
    <t>55&amp;47</t>
  </si>
  <si>
    <t>56&amp;48</t>
  </si>
  <si>
    <t>57&amp;49</t>
  </si>
  <si>
    <t>58&amp;50</t>
  </si>
  <si>
    <t>59&amp;51</t>
  </si>
  <si>
    <t>60&amp;52</t>
  </si>
  <si>
    <t>m</t>
  </si>
  <si>
    <t>J</t>
  </si>
  <si>
    <t>O3</t>
  </si>
  <si>
    <t>O4</t>
  </si>
  <si>
    <t>O5</t>
  </si>
  <si>
    <t>O6</t>
  </si>
  <si>
    <t>O7</t>
  </si>
  <si>
    <t>O8</t>
  </si>
  <si>
    <t>O9</t>
  </si>
  <si>
    <t>O10</t>
  </si>
  <si>
    <t>j3</t>
  </si>
  <si>
    <t>J4</t>
  </si>
  <si>
    <t>J5</t>
  </si>
  <si>
    <t>j6</t>
  </si>
  <si>
    <t>j7</t>
  </si>
  <si>
    <t>j8</t>
  </si>
  <si>
    <t>j9</t>
  </si>
  <si>
    <t>j10</t>
  </si>
  <si>
    <t>Wg</t>
  </si>
  <si>
    <t>Wn=</t>
  </si>
  <si>
    <t>334/338</t>
  </si>
  <si>
    <t>310/330</t>
  </si>
  <si>
    <t>298/300</t>
  </si>
  <si>
    <t>-</t>
  </si>
  <si>
    <t>M polzun</t>
  </si>
  <si>
    <t>ug</t>
  </si>
  <si>
    <t>ugt</t>
  </si>
  <si>
    <t>ugtt</t>
  </si>
  <si>
    <t>fi</t>
  </si>
  <si>
    <t>psi</t>
  </si>
  <si>
    <t>ksi</t>
  </si>
  <si>
    <t>teta</t>
  </si>
  <si>
    <t>b6</t>
  </si>
  <si>
    <t>Nx)G</t>
  </si>
  <si>
    <t>Ny)G</t>
  </si>
  <si>
    <t>Ползун G и шарнир Д  (Шaтун DG)</t>
  </si>
  <si>
    <t>Rx)A=</t>
  </si>
  <si>
    <t>Ry)A=</t>
  </si>
  <si>
    <t>Nx)B</t>
  </si>
  <si>
    <t>Ny)B=</t>
  </si>
  <si>
    <t>Wk+p+T</t>
  </si>
  <si>
    <t>Mo(W)</t>
  </si>
  <si>
    <t>(Py)G=</t>
  </si>
  <si>
    <t>(Px)G=</t>
  </si>
  <si>
    <t>(Px)D=</t>
  </si>
  <si>
    <t>(Py)D=</t>
  </si>
  <si>
    <t>Koromyslo BO1D</t>
  </si>
  <si>
    <t>Variant 1:  on opora O1</t>
  </si>
  <si>
    <t>(Rx)B=</t>
  </si>
  <si>
    <t>(Ry)B=</t>
  </si>
  <si>
    <t>(Nx)O1=</t>
  </si>
  <si>
    <t>(Ny)O1=</t>
  </si>
  <si>
    <t>For (P)D</t>
  </si>
  <si>
    <t>For (P)B</t>
  </si>
  <si>
    <t>(Px)B=</t>
  </si>
  <si>
    <t>(Py)B=</t>
  </si>
  <si>
    <t>(Sx)B=</t>
  </si>
  <si>
    <t>(Sy)B=</t>
  </si>
  <si>
    <t>(Px)A=</t>
  </si>
  <si>
    <t>(Py)A=</t>
  </si>
  <si>
    <t>Krivoship OA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</si>
</sst>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3">
    <font>
      <sz val="10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4.25"/>
      <name val="Arial Cyr"/>
      <family val="0"/>
    </font>
    <font>
      <b/>
      <sz val="14.25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.5"/>
      <name val="Arial"/>
      <family val="0"/>
    </font>
    <font>
      <b/>
      <sz val="9.5"/>
      <name val="Arial Cyr"/>
      <family val="0"/>
    </font>
    <font>
      <b/>
      <sz val="9"/>
      <name val="Arial Cyr"/>
      <family val="0"/>
    </font>
    <font>
      <b/>
      <sz val="18"/>
      <name val="Arial Cyr"/>
      <family val="0"/>
    </font>
    <font>
      <sz val="15"/>
      <name val="Arial Cyr"/>
      <family val="0"/>
    </font>
    <font>
      <sz val="10"/>
      <color indexed="43"/>
      <name val="Arial Cyr"/>
      <family val="0"/>
    </font>
    <font>
      <sz val="10"/>
      <color indexed="51"/>
      <name val="Arial Cyr"/>
      <family val="0"/>
    </font>
    <font>
      <sz val="10"/>
      <color indexed="13"/>
      <name val="Arial Cyr"/>
      <family val="0"/>
    </font>
    <font>
      <sz val="10"/>
      <color indexed="9"/>
      <name val="Arial Cyr"/>
      <family val="0"/>
    </font>
    <font>
      <sz val="14.75"/>
      <name val="Arial Cyr"/>
      <family val="0"/>
    </font>
    <font>
      <sz val="11.75"/>
      <name val="Arial Cyr"/>
      <family val="0"/>
    </font>
    <font>
      <sz val="10"/>
      <color indexed="46"/>
      <name val="Arial Cyr"/>
      <family val="0"/>
    </font>
    <font>
      <sz val="10"/>
      <color indexed="44"/>
      <name val="Arial Cyr"/>
      <family val="0"/>
    </font>
    <font>
      <sz val="10"/>
      <color indexed="4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.5"/>
      <name val="Arial Cyr"/>
      <family val="0"/>
    </font>
    <font>
      <sz val="9.5"/>
      <name val="Arial Cyr"/>
      <family val="0"/>
    </font>
    <font>
      <sz val="8.25"/>
      <name val="Arial Cyr"/>
      <family val="0"/>
    </font>
    <font>
      <sz val="10"/>
      <color indexed="60"/>
      <name val="Arial Cyr"/>
      <family val="0"/>
    </font>
    <font>
      <sz val="10"/>
      <color indexed="53"/>
      <name val="Arial Cyr"/>
      <family val="0"/>
    </font>
    <font>
      <sz val="6"/>
      <color indexed="43"/>
      <name val="Arial Cyr"/>
      <family val="0"/>
    </font>
    <font>
      <sz val="6"/>
      <color indexed="51"/>
      <name val="Arial Cyr"/>
      <family val="0"/>
    </font>
    <font>
      <sz val="6"/>
      <color indexed="60"/>
      <name val="Arial Cyr"/>
      <family val="0"/>
    </font>
    <font>
      <sz val="10"/>
      <color indexed="14"/>
      <name val="Arial Cyr"/>
      <family val="0"/>
    </font>
    <font>
      <sz val="8.75"/>
      <name val="Arial Cyr"/>
      <family val="0"/>
    </font>
    <font>
      <sz val="11.5"/>
      <name val="Arial Cyr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21" fillId="12" borderId="0" xfId="0" applyFont="1" applyFill="1" applyAlignment="1">
      <alignment/>
    </xf>
    <xf numFmtId="2" fontId="0" fillId="0" borderId="0" xfId="0" applyNumberFormat="1" applyAlignment="1">
      <alignment horizontal="right"/>
    </xf>
    <xf numFmtId="0" fontId="21" fillId="13" borderId="0" xfId="0" applyFont="1" applyFill="1" applyAlignment="1">
      <alignment/>
    </xf>
    <xf numFmtId="0" fontId="21" fillId="14" borderId="0" xfId="0" applyFont="1" applyFill="1" applyAlignment="1">
      <alignment/>
    </xf>
    <xf numFmtId="0" fontId="22" fillId="15" borderId="0" xfId="0" applyFont="1" applyFill="1" applyAlignment="1">
      <alignment/>
    </xf>
    <xf numFmtId="0" fontId="23" fillId="16" borderId="0" xfId="0" applyFont="1" applyFill="1" applyAlignment="1">
      <alignment/>
    </xf>
    <xf numFmtId="0" fontId="0" fillId="17" borderId="0" xfId="0" applyFill="1" applyAlignment="1">
      <alignment/>
    </xf>
    <xf numFmtId="2" fontId="0" fillId="17" borderId="0" xfId="0" applyNumberFormat="1" applyFill="1" applyAlignment="1">
      <alignment/>
    </xf>
    <xf numFmtId="0" fontId="27" fillId="18" borderId="0" xfId="0" applyFont="1" applyFill="1" applyAlignment="1">
      <alignment/>
    </xf>
    <xf numFmtId="2" fontId="27" fillId="18" borderId="0" xfId="0" applyNumberFormat="1" applyFont="1" applyFill="1" applyAlignment="1">
      <alignment/>
    </xf>
    <xf numFmtId="0" fontId="28" fillId="19" borderId="0" xfId="0" applyFont="1" applyFill="1" applyAlignment="1">
      <alignment/>
    </xf>
    <xf numFmtId="2" fontId="28" fillId="19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2" fontId="20" fillId="20" borderId="0" xfId="0" applyNumberFormat="1" applyFont="1" applyFill="1" applyAlignment="1">
      <alignment/>
    </xf>
    <xf numFmtId="0" fontId="28" fillId="21" borderId="0" xfId="0" applyFont="1" applyFill="1" applyAlignment="1">
      <alignment/>
    </xf>
    <xf numFmtId="0" fontId="20" fillId="22" borderId="0" xfId="0" applyFont="1" applyFill="1" applyAlignment="1">
      <alignment/>
    </xf>
    <xf numFmtId="0" fontId="20" fillId="2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" borderId="0" xfId="0" applyFont="1" applyFill="1" applyAlignment="1">
      <alignment/>
    </xf>
    <xf numFmtId="2" fontId="20" fillId="2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0" fillId="19" borderId="0" xfId="0" applyFont="1" applyFill="1" applyAlignment="1">
      <alignment/>
    </xf>
    <xf numFmtId="0" fontId="20" fillId="18" borderId="0" xfId="0" applyFont="1" applyFill="1" applyAlignment="1">
      <alignment/>
    </xf>
    <xf numFmtId="0" fontId="26" fillId="25" borderId="0" xfId="0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2" fontId="0" fillId="26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7" borderId="0" xfId="0" applyFont="1" applyFill="1" applyAlignment="1">
      <alignment/>
    </xf>
    <xf numFmtId="2" fontId="0" fillId="7" borderId="0" xfId="0" applyNumberFormat="1" applyFont="1" applyFill="1" applyAlignment="1">
      <alignment/>
    </xf>
    <xf numFmtId="0" fontId="34" fillId="10" borderId="0" xfId="0" applyFont="1" applyFill="1" applyAlignment="1">
      <alignment/>
    </xf>
    <xf numFmtId="2" fontId="34" fillId="10" borderId="0" xfId="0" applyNumberFormat="1" applyFont="1" applyFill="1" applyAlignment="1">
      <alignment/>
    </xf>
    <xf numFmtId="0" fontId="35" fillId="24" borderId="0" xfId="0" applyFont="1" applyFill="1" applyAlignment="1">
      <alignment/>
    </xf>
    <xf numFmtId="0" fontId="21" fillId="27" borderId="0" xfId="0" applyFont="1" applyFill="1" applyAlignment="1">
      <alignment/>
    </xf>
    <xf numFmtId="0" fontId="39" fillId="11" borderId="0" xfId="0" applyFont="1" applyFill="1" applyAlignment="1">
      <alignment/>
    </xf>
    <xf numFmtId="2" fontId="39" fillId="11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4" fillId="7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35" fillId="0" borderId="0" xfId="0" applyFont="1" applyFill="1" applyAlignment="1">
      <alignment/>
    </xf>
    <xf numFmtId="2" fontId="35" fillId="0" borderId="0" xfId="0" applyNumberFormat="1" applyFont="1" applyFill="1" applyAlignment="1">
      <alignment/>
    </xf>
    <xf numFmtId="0" fontId="0" fillId="28" borderId="0" xfId="0" applyFill="1" applyAlignment="1">
      <alignment/>
    </xf>
    <xf numFmtId="2" fontId="0" fillId="28" borderId="0" xfId="0" applyNumberFormat="1" applyFill="1" applyAlignment="1">
      <alignment/>
    </xf>
    <xf numFmtId="0" fontId="20" fillId="22" borderId="0" xfId="0" applyFont="1" applyFill="1" applyAlignment="1">
      <alignment horizontal="center"/>
    </xf>
    <xf numFmtId="0" fontId="20" fillId="23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19" borderId="0" xfId="0" applyFont="1" applyFill="1" applyAlignment="1">
      <alignment horizontal="center"/>
    </xf>
    <xf numFmtId="0" fontId="20" fillId="18" borderId="0" xfId="0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28" fillId="21" borderId="0" xfId="0" applyFont="1" applyFill="1" applyAlignment="1">
      <alignment horizontal="center"/>
    </xf>
    <xf numFmtId="0" fontId="21" fillId="14" borderId="0" xfId="0" applyFont="1" applyFill="1" applyAlignment="1">
      <alignment horizontal="center"/>
    </xf>
    <xf numFmtId="0" fontId="23" fillId="16" borderId="0" xfId="0" applyFont="1" applyFill="1" applyAlignment="1">
      <alignment horizontal="center"/>
    </xf>
    <xf numFmtId="2" fontId="26" fillId="17" borderId="0" xfId="0" applyNumberFormat="1" applyFont="1" applyFill="1" applyAlignment="1">
      <alignment horizontal="center"/>
    </xf>
    <xf numFmtId="2" fontId="27" fillId="18" borderId="0" xfId="0" applyNumberFormat="1" applyFont="1" applyFill="1" applyAlignment="1">
      <alignment horizontal="center"/>
    </xf>
    <xf numFmtId="2" fontId="28" fillId="19" borderId="0" xfId="0" applyNumberFormat="1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14" fillId="26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1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21" fillId="11" borderId="0" xfId="0" applyFont="1" applyFill="1" applyAlignment="1">
      <alignment horizontal="center"/>
    </xf>
    <xf numFmtId="0" fontId="20" fillId="14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Траектория точки 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расчет!$B$24:$Z$24</c:f>
              <c:numCache>
                <c:ptCount val="25"/>
                <c:pt idx="0">
                  <c:v>3</c:v>
                </c:pt>
                <c:pt idx="1">
                  <c:v>2.897777478867205</c:v>
                </c:pt>
                <c:pt idx="2">
                  <c:v>2.598076211353316</c:v>
                </c:pt>
                <c:pt idx="3">
                  <c:v>2.121320343559643</c:v>
                </c:pt>
                <c:pt idx="4">
                  <c:v>1.5000000000000004</c:v>
                </c:pt>
                <c:pt idx="5">
                  <c:v>0.7764571353075622</c:v>
                </c:pt>
                <c:pt idx="6">
                  <c:v>1.83772268236293E-16</c:v>
                </c:pt>
                <c:pt idx="7">
                  <c:v>-0.7764571353075626</c:v>
                </c:pt>
                <c:pt idx="8">
                  <c:v>-1.4999999999999993</c:v>
                </c:pt>
                <c:pt idx="9">
                  <c:v>-2.1213203435596424</c:v>
                </c:pt>
                <c:pt idx="10">
                  <c:v>-2.598076211353316</c:v>
                </c:pt>
                <c:pt idx="11">
                  <c:v>-2.8977774788672046</c:v>
                </c:pt>
                <c:pt idx="12">
                  <c:v>-3</c:v>
                </c:pt>
                <c:pt idx="13">
                  <c:v>-2.897777478867205</c:v>
                </c:pt>
                <c:pt idx="14">
                  <c:v>-2.598076211353316</c:v>
                </c:pt>
                <c:pt idx="15">
                  <c:v>-2.121320343559643</c:v>
                </c:pt>
                <c:pt idx="16">
                  <c:v>-1.5000000000000013</c:v>
                </c:pt>
                <c:pt idx="17">
                  <c:v>-0.7764571353075619</c:v>
                </c:pt>
                <c:pt idx="18">
                  <c:v>-5.51316804708879E-16</c:v>
                </c:pt>
                <c:pt idx="19">
                  <c:v>0.7764571353075609</c:v>
                </c:pt>
                <c:pt idx="20">
                  <c:v>1.5000000000000004</c:v>
                </c:pt>
                <c:pt idx="21">
                  <c:v>2.121320343559642</c:v>
                </c:pt>
                <c:pt idx="22">
                  <c:v>2.598076211353315</c:v>
                </c:pt>
                <c:pt idx="23">
                  <c:v>2.897777478867205</c:v>
                </c:pt>
                <c:pt idx="24">
                  <c:v>3</c:v>
                </c:pt>
              </c:numCache>
            </c:numRef>
          </c:xVal>
          <c:yVal>
            <c:numRef>
              <c:f>расчет!$B$25:$Z$25</c:f>
              <c:numCache>
                <c:ptCount val="25"/>
                <c:pt idx="0">
                  <c:v>0</c:v>
                </c:pt>
                <c:pt idx="1">
                  <c:v>0.7764571353075622</c:v>
                </c:pt>
                <c:pt idx="2">
                  <c:v>1.4999999999999998</c:v>
                </c:pt>
                <c:pt idx="3">
                  <c:v>2.1213203435596424</c:v>
                </c:pt>
                <c:pt idx="4">
                  <c:v>2.598076211353316</c:v>
                </c:pt>
                <c:pt idx="5">
                  <c:v>2.897777478867205</c:v>
                </c:pt>
                <c:pt idx="6">
                  <c:v>3</c:v>
                </c:pt>
                <c:pt idx="7">
                  <c:v>2.897777478867205</c:v>
                </c:pt>
                <c:pt idx="8">
                  <c:v>2.598076211353316</c:v>
                </c:pt>
                <c:pt idx="9">
                  <c:v>2.121320343559643</c:v>
                </c:pt>
                <c:pt idx="10">
                  <c:v>1.4999999999999998</c:v>
                </c:pt>
                <c:pt idx="11">
                  <c:v>0.7764571353075631</c:v>
                </c:pt>
                <c:pt idx="12">
                  <c:v>3.67544536472586E-16</c:v>
                </c:pt>
                <c:pt idx="13">
                  <c:v>-0.7764571353075624</c:v>
                </c:pt>
                <c:pt idx="14">
                  <c:v>-1.5000000000000004</c:v>
                </c:pt>
                <c:pt idx="15">
                  <c:v>-2.1213203435596424</c:v>
                </c:pt>
                <c:pt idx="16">
                  <c:v>-2.598076211353315</c:v>
                </c:pt>
                <c:pt idx="17">
                  <c:v>-2.897777478867205</c:v>
                </c:pt>
                <c:pt idx="18">
                  <c:v>-3</c:v>
                </c:pt>
                <c:pt idx="19">
                  <c:v>-2.897777478867205</c:v>
                </c:pt>
                <c:pt idx="20">
                  <c:v>-2.598076211353316</c:v>
                </c:pt>
                <c:pt idx="21">
                  <c:v>-2.121320343559643</c:v>
                </c:pt>
                <c:pt idx="22">
                  <c:v>-1.5000000000000013</c:v>
                </c:pt>
                <c:pt idx="23">
                  <c:v>-0.776457135307562</c:v>
                </c:pt>
                <c:pt idx="24">
                  <c:v>-7.35089072945172E-16</c:v>
                </c:pt>
              </c:numCache>
            </c:numRef>
          </c:yVal>
          <c:smooth val="1"/>
        </c:ser>
        <c:axId val="45854477"/>
        <c:axId val="10037110"/>
      </c:scatterChart>
      <c:valAx>
        <c:axId val="458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37110"/>
        <c:crosses val="autoZero"/>
        <c:crossBetween val="midCat"/>
        <c:dispUnits/>
      </c:valAx>
      <c:valAx>
        <c:axId val="1003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54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"/>
          <c:w val="0.94825"/>
          <c:h val="0.697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расчет!$A$81</c:f>
              <c:strCache>
                <c:ptCount val="1"/>
                <c:pt idx="0">
                  <c:v>xG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расчет!$B$81:$IV$81</c:f>
              <c:numCache>
                <c:ptCount val="25"/>
                <c:pt idx="0">
                  <c:v>3.59573090371413</c:v>
                </c:pt>
                <c:pt idx="1">
                  <c:v>3.8337916814999025</c:v>
                </c:pt>
                <c:pt idx="2">
                  <c:v>3.9864474653176383</c:v>
                </c:pt>
                <c:pt idx="3">
                  <c:v>4.049667500285296</c:v>
                </c:pt>
                <c:pt idx="4">
                  <c:v>4.040345674868727</c:v>
                </c:pt>
                <c:pt idx="5">
                  <c:v>3.9787616734759954</c:v>
                </c:pt>
                <c:pt idx="6">
                  <c:v>3.8813469990177394</c:v>
                </c:pt>
                <c:pt idx="7">
                  <c:v>3.759917363615631</c:v>
                </c:pt>
                <c:pt idx="8">
                  <c:v>3.622979964267419</c:v>
                </c:pt>
                <c:pt idx="9">
                  <c:v>3.4771552917196025</c:v>
                </c:pt>
                <c:pt idx="10">
                  <c:v>3.3281563407292687</c:v>
                </c:pt>
                <c:pt idx="11">
                  <c:v>3.181281946835723</c:v>
                </c:pt>
                <c:pt idx="12">
                  <c:v>3.0415396758047755</c:v>
                </c:pt>
                <c:pt idx="13">
                  <c:v>2.9135704384237586</c:v>
                </c:pt>
                <c:pt idx="14">
                  <c:v>2.80155929905086</c:v>
                </c:pt>
                <c:pt idx="15">
                  <c:v>2.709282960202481</c:v>
                </c:pt>
                <c:pt idx="16">
                  <c:v>2.6403775328023693</c:v>
                </c:pt>
                <c:pt idx="17">
                  <c:v>2.5988451908784427</c:v>
                </c:pt>
                <c:pt idx="18">
                  <c:v>2.589774377605899</c:v>
                </c:pt>
                <c:pt idx="19">
                  <c:v>2.6201824382612857</c:v>
                </c:pt>
                <c:pt idx="20">
                  <c:v>2.699631382202435</c:v>
                </c:pt>
                <c:pt idx="21">
                  <c:v>2.8394065164070845</c:v>
                </c:pt>
                <c:pt idx="22">
                  <c:v>3.0471461198166483</c:v>
                </c:pt>
                <c:pt idx="23">
                  <c:v>3.3131409588919287</c:v>
                </c:pt>
                <c:pt idx="24">
                  <c:v>3.59573090371413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расчет!$A$83</c:f>
              <c:strCache>
                <c:ptCount val="1"/>
                <c:pt idx="0">
                  <c:v>xGt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расчет!$B$83:$Z$83</c:f>
              <c:numCache>
                <c:ptCount val="25"/>
                <c:pt idx="0">
                  <c:v>1.0318309592430408</c:v>
                </c:pt>
                <c:pt idx="1">
                  <c:v>0.7597168094781694</c:v>
                </c:pt>
                <c:pt idx="2">
                  <c:v>0.40534768131483045</c:v>
                </c:pt>
                <c:pt idx="3">
                  <c:v>0.08955779490380314</c:v>
                </c:pt>
                <c:pt idx="4">
                  <c:v>-0.1474588546659738</c:v>
                </c:pt>
                <c:pt idx="5">
                  <c:v>-0.31253974380387173</c:v>
                </c:pt>
                <c:pt idx="6">
                  <c:v>-0.42423015827495547</c:v>
                </c:pt>
                <c:pt idx="7">
                  <c:v>-0.4981023377984709</c:v>
                </c:pt>
                <c:pt idx="8">
                  <c:v>-0.5438698917434165</c:v>
                </c:pt>
                <c:pt idx="9">
                  <c:v>-0.5665417959778322</c:v>
                </c:pt>
                <c:pt idx="10">
                  <c:v>-0.5683592026035562</c:v>
                </c:pt>
                <c:pt idx="11">
                  <c:v>-0.5504840453068668</c:v>
                </c:pt>
                <c:pt idx="12">
                  <c:v>-0.5141066675092356</c:v>
                </c:pt>
                <c:pt idx="13">
                  <c:v>-0.4608442687726698</c:v>
                </c:pt>
                <c:pt idx="14">
                  <c:v>-0.3924704067746284</c:v>
                </c:pt>
                <c:pt idx="15">
                  <c:v>-0.31018655798527495</c:v>
                </c:pt>
                <c:pt idx="16">
                  <c:v>-0.21371072261248786</c:v>
                </c:pt>
                <c:pt idx="17">
                  <c:v>-0.10038959826638999</c:v>
                </c:pt>
                <c:pt idx="18">
                  <c:v>0.03551278970231091</c:v>
                </c:pt>
                <c:pt idx="19">
                  <c:v>0.2029000265509489</c:v>
                </c:pt>
                <c:pt idx="20">
                  <c:v>0.4115213149332594</c:v>
                </c:pt>
                <c:pt idx="21">
                  <c:v>0.6620421499440261</c:v>
                </c:pt>
                <c:pt idx="22">
                  <c:v>0.9200598172729737</c:v>
                </c:pt>
                <c:pt idx="23">
                  <c:v>1.0848049060784852</c:v>
                </c:pt>
                <c:pt idx="24">
                  <c:v>1.031830959243041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расчет!$A$85</c:f>
              <c:strCache>
                <c:ptCount val="1"/>
                <c:pt idx="0">
                  <c:v>xGtt =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расчет!$B$85:$IV$85</c:f>
              <c:numCache>
                <c:ptCount val="25"/>
                <c:pt idx="0">
                  <c:v>-0.6802853645796936</c:v>
                </c:pt>
                <c:pt idx="1">
                  <c:v>-1.2973860662146965</c:v>
                </c:pt>
                <c:pt idx="2">
                  <c:v>-1.32956902646237</c:v>
                </c:pt>
                <c:pt idx="3">
                  <c:v>-1.0604957304400662</c:v>
                </c:pt>
                <c:pt idx="4">
                  <c:v>-0.7568453482146065</c:v>
                </c:pt>
                <c:pt idx="5">
                  <c:v>-0.5169032430580287</c:v>
                </c:pt>
                <c:pt idx="6">
                  <c:v>-0.34637645491690233</c:v>
                </c:pt>
                <c:pt idx="7">
                  <c:v>-0.22405065273809452</c:v>
                </c:pt>
                <c:pt idx="8">
                  <c:v>-0.1286460373643029</c:v>
                </c:pt>
                <c:pt idx="9">
                  <c:v>-0.04587135369315666</c:v>
                </c:pt>
                <c:pt idx="10">
                  <c:v>0.0313194230297727</c:v>
                </c:pt>
                <c:pt idx="11">
                  <c:v>0.10450396672736367</c:v>
                </c:pt>
                <c:pt idx="12">
                  <c:v>0.1723498533990611</c:v>
                </c:pt>
                <c:pt idx="13">
                  <c:v>0.23336668897460855</c:v>
                </c:pt>
                <c:pt idx="14">
                  <c:v>0.28814633771940545</c:v>
                </c:pt>
                <c:pt idx="15">
                  <c:v>0.34057802939970794</c:v>
                </c:pt>
                <c:pt idx="16">
                  <c:v>0.39808420113249254</c:v>
                </c:pt>
                <c:pt idx="17">
                  <c:v>0.47125880388679886</c:v>
                </c:pt>
                <c:pt idx="18">
                  <c:v>0.572731845052914</c:v>
                </c:pt>
                <c:pt idx="19">
                  <c:v>0.7127542438978508</c:v>
                </c:pt>
                <c:pt idx="20">
                  <c:v>0.8830514482891489</c:v>
                </c:pt>
                <c:pt idx="21">
                  <c:v>1.0116410221732657</c:v>
                </c:pt>
                <c:pt idx="22">
                  <c:v>0.8937512915065586</c:v>
                </c:pt>
                <c:pt idx="23">
                  <c:v>0.2728920165890684</c:v>
                </c:pt>
                <c:pt idx="24">
                  <c:v>-0.6802853645796937</c:v>
                </c:pt>
              </c:numCache>
            </c:numRef>
          </c:val>
          <c:smooth val="1"/>
        </c:ser>
        <c:axId val="57487479"/>
        <c:axId val="47625264"/>
      </c:lineChart>
      <c:catAx>
        <c:axId val="5748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25264"/>
        <c:crosses val="autoZero"/>
        <c:auto val="0"/>
        <c:lblOffset val="100"/>
        <c:noMultiLvlLbl val="0"/>
      </c:catAx>
      <c:valAx>
        <c:axId val="47625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487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5"/>
          <c:y val="0.1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7"/>
          <c:w val="0.959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расчет!$A$90</c:f>
              <c:strCache>
                <c:ptCount val="1"/>
                <c:pt idx="0">
                  <c:v>xN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расчет!$B$90:$IV$90</c:f>
              <c:numCache>
                <c:ptCount val="25"/>
                <c:pt idx="0">
                  <c:v>6.520432718388327</c:v>
                </c:pt>
                <c:pt idx="1">
                  <c:v>7.242877805761704</c:v>
                </c:pt>
                <c:pt idx="2">
                  <c:v>7.727101968845073</c:v>
                </c:pt>
                <c:pt idx="3">
                  <c:v>7.934946841652013</c:v>
                </c:pt>
                <c:pt idx="4">
                  <c:v>7.903985781248985</c:v>
                </c:pt>
                <c:pt idx="5">
                  <c:v>7.702159726249094</c:v>
                </c:pt>
                <c:pt idx="6">
                  <c:v>7.391401709722717</c:v>
                </c:pt>
                <c:pt idx="7">
                  <c:v>7.015499988734781</c:v>
                </c:pt>
                <c:pt idx="8">
                  <c:v>6.601909161137676</c:v>
                </c:pt>
                <c:pt idx="9">
                  <c:v>6.167277779714521</c:v>
                </c:pt>
                <c:pt idx="10">
                  <c:v>5.7224454738606365</c:v>
                </c:pt>
                <c:pt idx="11">
                  <c:v>5.27606544355009</c:v>
                </c:pt>
                <c:pt idx="12">
                  <c:v>4.8370801412664655</c:v>
                </c:pt>
                <c:pt idx="13">
                  <c:v>4.416409736176293</c:v>
                </c:pt>
                <c:pt idx="14">
                  <c:v>4.028112768304455</c:v>
                </c:pt>
                <c:pt idx="15">
                  <c:v>3.6901628907305266</c:v>
                </c:pt>
                <c:pt idx="16">
                  <c:v>3.424869193938763</c:v>
                </c:pt>
                <c:pt idx="17">
                  <c:v>3.2588055044013666</c:v>
                </c:pt>
                <c:pt idx="18">
                  <c:v>3.221866508944152</c:v>
                </c:pt>
                <c:pt idx="19">
                  <c:v>3.344736371124341</c:v>
                </c:pt>
                <c:pt idx="20">
                  <c:v>3.6537179821757126</c:v>
                </c:pt>
                <c:pt idx="21">
                  <c:v>4.1617519658239015</c:v>
                </c:pt>
                <c:pt idx="22">
                  <c:v>4.8550528078651265</c:v>
                </c:pt>
                <c:pt idx="23">
                  <c:v>5.677294879610422</c:v>
                </c:pt>
                <c:pt idx="24">
                  <c:v>6.520432718388327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расчет!$A$94</c:f>
              <c:strCache>
                <c:ptCount val="1"/>
                <c:pt idx="0">
                  <c:v>xNt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расчет!$B$94:$IV$94</c:f>
              <c:numCache>
                <c:ptCount val="25"/>
                <c:pt idx="0">
                  <c:v>3.081762542908837</c:v>
                </c:pt>
                <c:pt idx="1">
                  <c:v>2.3582059883907016</c:v>
                </c:pt>
                <c:pt idx="2">
                  <c:v>1.3172268676771834</c:v>
                </c:pt>
                <c:pt idx="3">
                  <c:v>0.2979988559650754</c:v>
                </c:pt>
                <c:pt idx="4">
                  <c:v>-0.48886966920418734</c:v>
                </c:pt>
                <c:pt idx="5">
                  <c:v>-1.0129051574832533</c:v>
                </c:pt>
                <c:pt idx="6">
                  <c:v>-1.3334461005666882</c:v>
                </c:pt>
                <c:pt idx="7">
                  <c:v>-1.5211379588059413</c:v>
                </c:pt>
                <c:pt idx="8">
                  <c:v>-1.6281867379583215</c:v>
                </c:pt>
                <c:pt idx="9">
                  <c:v>-1.6854790809663056</c:v>
                </c:pt>
                <c:pt idx="10">
                  <c:v>-1.7074347279999176</c:v>
                </c:pt>
                <c:pt idx="11">
                  <c:v>-1.6970697248708937</c:v>
                </c:pt>
                <c:pt idx="12">
                  <c:v>-1.6496515503413047</c:v>
                </c:pt>
                <c:pt idx="13">
                  <c:v>-1.5551328022935653</c:v>
                </c:pt>
                <c:pt idx="14">
                  <c:v>-1.3998229846731736</c:v>
                </c:pt>
                <c:pt idx="15">
                  <c:v>-1.1677203230493183</c:v>
                </c:pt>
                <c:pt idx="16">
                  <c:v>-0.8420031698468435</c:v>
                </c:pt>
                <c:pt idx="17">
                  <c:v>-0.40744709768475884</c:v>
                </c:pt>
                <c:pt idx="18">
                  <c:v>0.14510569191573525</c:v>
                </c:pt>
                <c:pt idx="19">
                  <c:v>0.8108599686926425</c:v>
                </c:pt>
                <c:pt idx="20">
                  <c:v>1.5586857693547491</c:v>
                </c:pt>
                <c:pt idx="21">
                  <c:v>2.314707964587011</c:v>
                </c:pt>
                <c:pt idx="22">
                  <c:v>2.94665184635485</c:v>
                </c:pt>
                <c:pt idx="23">
                  <c:v>3.265101589795986</c:v>
                </c:pt>
                <c:pt idx="24">
                  <c:v>3.081762542908838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расчет!$A$96</c:f>
              <c:strCache>
                <c:ptCount val="1"/>
                <c:pt idx="0">
                  <c:v>xNtt =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расчет!$B$96:$IV$96</c:f>
              <c:numCache>
                <c:ptCount val="25"/>
                <c:pt idx="0">
                  <c:v>-1.789529880059503</c:v>
                </c:pt>
                <c:pt idx="1">
                  <c:v>-3.5849136572407074</c:v>
                </c:pt>
                <c:pt idx="2">
                  <c:v>-4.132145121398191</c:v>
                </c:pt>
                <c:pt idx="3">
                  <c:v>-3.5181858855938652</c:v>
                </c:pt>
                <c:pt idx="4">
                  <c:v>-2.4810966288312066</c:v>
                </c:pt>
                <c:pt idx="5">
                  <c:v>-1.5651501136613513</c:v>
                </c:pt>
                <c:pt idx="6">
                  <c:v>-0.930183628330784</c:v>
                </c:pt>
                <c:pt idx="7">
                  <c:v>-0.5369218872843278</c:v>
                </c:pt>
                <c:pt idx="8">
                  <c:v>-0.300167843018566</c:v>
                </c:pt>
                <c:pt idx="9">
                  <c:v>-0.1463621256152645</c:v>
                </c:pt>
                <c:pt idx="10">
                  <c:v>-0.023057634970426785</c:v>
                </c:pt>
                <c:pt idx="11">
                  <c:v>0.105403721403185</c:v>
                </c:pt>
                <c:pt idx="12">
                  <c:v>0.26334367384841095</c:v>
                </c:pt>
                <c:pt idx="13">
                  <c:v>0.4675225830555155</c:v>
                </c:pt>
                <c:pt idx="14">
                  <c:v>0.7292322196567337</c:v>
                </c:pt>
                <c:pt idx="15">
                  <c:v>1.05475398912602</c:v>
                </c:pt>
                <c:pt idx="16">
                  <c:v>1.4435053553349533</c:v>
                </c:pt>
                <c:pt idx="17">
                  <c:v>1.8825790304592165</c:v>
                </c:pt>
                <c:pt idx="18">
                  <c:v>2.336349453727906</c:v>
                </c:pt>
                <c:pt idx="19">
                  <c:v>2.7309001513545907</c:v>
                </c:pt>
                <c:pt idx="20">
                  <c:v>2.936156733069541</c:v>
                </c:pt>
                <c:pt idx="21">
                  <c:v>2.755496449682529</c:v>
                </c:pt>
                <c:pt idx="22">
                  <c:v>1.9485089897936725</c:v>
                </c:pt>
                <c:pt idx="23">
                  <c:v>0.35396206547864095</c:v>
                </c:pt>
                <c:pt idx="24">
                  <c:v>-1.7895298800595032</c:v>
                </c:pt>
              </c:numCache>
            </c:numRef>
          </c:val>
          <c:smooth val="1"/>
        </c:ser>
        <c:axId val="25974193"/>
        <c:axId val="32441146"/>
      </c:lineChart>
      <c:catAx>
        <c:axId val="25974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41146"/>
        <c:crosses val="autoZero"/>
        <c:auto val="0"/>
        <c:lblOffset val="100"/>
        <c:noMultiLvlLbl val="0"/>
      </c:catAx>
      <c:valAx>
        <c:axId val="32441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74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0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55"/>
          <c:w val="0.914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расчет!$A$104</c:f>
              <c:strCache>
                <c:ptCount val="1"/>
                <c:pt idx="0">
                  <c:v>xM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расчет!$B$104:$IV$104</c:f>
              <c:numCache>
                <c:ptCount val="25"/>
                <c:pt idx="0">
                  <c:v>5.087242089580179</c:v>
                </c:pt>
                <c:pt idx="1">
                  <c:v>6.092067862883274</c:v>
                </c:pt>
                <c:pt idx="2">
                  <c:v>6.781844062514229</c:v>
                </c:pt>
                <c:pt idx="3">
                  <c:v>7.0799061314826774</c:v>
                </c:pt>
                <c:pt idx="4">
                  <c:v>7.035468707619932</c:v>
                </c:pt>
                <c:pt idx="5">
                  <c:v>6.746127435243764</c:v>
                </c:pt>
                <c:pt idx="6">
                  <c:v>6.302666388202941</c:v>
                </c:pt>
                <c:pt idx="7">
                  <c:v>5.771939634089751</c:v>
                </c:pt>
                <c:pt idx="8">
                  <c:v>5.198597209707975</c:v>
                </c:pt>
                <c:pt idx="9">
                  <c:v>4.611440814982962</c:v>
                </c:pt>
                <c:pt idx="10">
                  <c:v>4.029214128601724</c:v>
                </c:pt>
                <c:pt idx="11">
                  <c:v>3.4649344495494407</c:v>
                </c:pt>
                <c:pt idx="12">
                  <c:v>2.9290824997603124</c:v>
                </c:pt>
                <c:pt idx="13">
                  <c:v>2.432048008196874</c:v>
                </c:pt>
                <c:pt idx="14">
                  <c:v>1.986061705205067</c:v>
                </c:pt>
                <c:pt idx="15">
                  <c:v>1.6066993272684087</c:v>
                </c:pt>
                <c:pt idx="16">
                  <c:v>1.3139479478022038</c:v>
                </c:pt>
                <c:pt idx="17">
                  <c:v>1.1327280372107151</c:v>
                </c:pt>
                <c:pt idx="18">
                  <c:v>1.0926162760260563</c:v>
                </c:pt>
                <c:pt idx="19">
                  <c:v>1.2263159430631738</c:v>
                </c:pt>
                <c:pt idx="20">
                  <c:v>1.566232383708602</c:v>
                </c:pt>
                <c:pt idx="21">
                  <c:v>2.138266131725957</c:v>
                </c:pt>
                <c:pt idx="22">
                  <c:v>2.950665184714213</c:v>
                </c:pt>
                <c:pt idx="23">
                  <c:v>3.971226094836411</c:v>
                </c:pt>
                <c:pt idx="24">
                  <c:v>5.087242089580179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расчет!$A$106</c:f>
              <c:strCache>
                <c:ptCount val="1"/>
                <c:pt idx="0">
                  <c:v>xMt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расчет!$B$106:$IV$106</c:f>
              <c:numCache>
                <c:ptCount val="25"/>
                <c:pt idx="0">
                  <c:v>4.201141623962944</c:v>
                </c:pt>
                <c:pt idx="1">
                  <c:v>3.335230435904338</c:v>
                </c:pt>
                <c:pt idx="2">
                  <c:v>1.886600785826972</c:v>
                </c:pt>
                <c:pt idx="3">
                  <c:v>0.4277510789474446</c:v>
                </c:pt>
                <c:pt idx="4">
                  <c:v>-0.7015839213919085</c:v>
                </c:pt>
                <c:pt idx="5">
                  <c:v>-1.4501643183548416</c:v>
                </c:pt>
                <c:pt idx="6">
                  <c:v>-1.8953038871965093</c:v>
                </c:pt>
                <c:pt idx="7">
                  <c:v>-2.1311676538866853</c:v>
                </c:pt>
                <c:pt idx="8">
                  <c:v>-2.2308824636210707</c:v>
                </c:pt>
                <c:pt idx="9">
                  <c:v>-2.243000890469508</c:v>
                </c:pt>
                <c:pt idx="10">
                  <c:v>-2.19679551387644</c:v>
                </c:pt>
                <c:pt idx="11">
                  <c:v>-2.1074651434584024</c:v>
                </c:pt>
                <c:pt idx="12">
                  <c:v>-1.9796502153447886</c:v>
                </c:pt>
                <c:pt idx="13">
                  <c:v>-1.8097231103649913</c:v>
                </c:pt>
                <c:pt idx="14">
                  <c:v>-1.5875142125495265</c:v>
                </c:pt>
                <c:pt idx="15">
                  <c:v>-1.297912166487011</c:v>
                </c:pt>
                <c:pt idx="16">
                  <c:v>-0.9226652611262999</c:v>
                </c:pt>
                <c:pt idx="17">
                  <c:v>-0.44283234461062865</c:v>
                </c:pt>
                <c:pt idx="18">
                  <c:v>0.1574314193973644</c:v>
                </c:pt>
                <c:pt idx="19">
                  <c:v>0.8849698191913744</c:v>
                </c:pt>
                <c:pt idx="20">
                  <c:v>1.7289440170713355</c:v>
                </c:pt>
                <c:pt idx="21">
                  <c:v>2.6476482712645795</c:v>
                </c:pt>
                <c:pt idx="22">
                  <c:v>3.5409410245785393</c:v>
                </c:pt>
                <c:pt idx="23">
                  <c:v>4.186002652033315</c:v>
                </c:pt>
                <c:pt idx="24">
                  <c:v>4.201141623962946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расчет!$A$108</c:f>
              <c:strCache>
                <c:ptCount val="1"/>
                <c:pt idx="0">
                  <c:v>xMtt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расчет!$B$108:$IV$108</c:f>
              <c:numCache>
                <c:ptCount val="25"/>
                <c:pt idx="0">
                  <c:v>-3.451038159558275</c:v>
                </c:pt>
                <c:pt idx="1">
                  <c:v>-5.878193859716543</c:v>
                </c:pt>
                <c:pt idx="2">
                  <c:v>-6.2181546695352985</c:v>
                </c:pt>
                <c:pt idx="3">
                  <c:v>-5.066355916398578</c:v>
                </c:pt>
                <c:pt idx="4">
                  <c:v>-3.604181994989473</c:v>
                </c:pt>
                <c:pt idx="5">
                  <c:v>-2.4167372940731533</c:v>
                </c:pt>
                <c:pt idx="6">
                  <c:v>-1.5957686195416847</c:v>
                </c:pt>
                <c:pt idx="7">
                  <c:v>-1.0583363463826858</c:v>
                </c:pt>
                <c:pt idx="8">
                  <c:v>-0.7039399922271639</c:v>
                </c:pt>
                <c:pt idx="9">
                  <c:v>-0.4552037731483931</c:v>
                </c:pt>
                <c:pt idx="10">
                  <c:v>-0.25723869963500046</c:v>
                </c:pt>
                <c:pt idx="11">
                  <c:v>-0.06982067945097342</c:v>
                </c:pt>
                <c:pt idx="12">
                  <c:v>0.13801525810396126</c:v>
                </c:pt>
                <c:pt idx="13">
                  <c:v>0.3901424614769212</c:v>
                </c:pt>
                <c:pt idx="14">
                  <c:v>0.7034583389174819</c:v>
                </c:pt>
                <c:pt idx="15">
                  <c:v>1.0866864949591635</c:v>
                </c:pt>
                <c:pt idx="16">
                  <c:v>1.5373862357668624</c:v>
                </c:pt>
                <c:pt idx="17">
                  <c:v>2.0357046103868393</c:v>
                </c:pt>
                <c:pt idx="18">
                  <c:v>2.533492018165769</c:v>
                </c:pt>
                <c:pt idx="19">
                  <c:v>2.939365366132158</c:v>
                </c:pt>
                <c:pt idx="20">
                  <c:v>3.104304007605223</c:v>
                </c:pt>
                <c:pt idx="21">
                  <c:v>2.813270122356874</c:v>
                </c:pt>
                <c:pt idx="22">
                  <c:v>1.7725191419021633</c:v>
                </c:pt>
                <c:pt idx="23">
                  <c:v>-0.36697797796405895</c:v>
                </c:pt>
                <c:pt idx="24">
                  <c:v>-3.451038159558276</c:v>
                </c:pt>
              </c:numCache>
            </c:numRef>
          </c:val>
          <c:smooth val="1"/>
        </c:ser>
        <c:axId val="23534859"/>
        <c:axId val="10487140"/>
      </c:lineChart>
      <c:catAx>
        <c:axId val="23534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87140"/>
        <c:crosses val="autoZero"/>
        <c:auto val="0"/>
        <c:lblOffset val="100"/>
        <c:noMultiLvlLbl val="0"/>
      </c:catAx>
      <c:valAx>
        <c:axId val="10487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34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27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16"/>
          <c:w val="0.977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расчет!$A$197</c:f>
              <c:strCache>
                <c:ptCount val="1"/>
                <c:pt idx="0">
                  <c:v>Wp1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расчет!$B$197:$IV$197</c:f>
              <c:numCache>
                <c:ptCount val="25"/>
                <c:pt idx="0">
                  <c:v>-20</c:v>
                </c:pt>
                <c:pt idx="1">
                  <c:v>-19.318516525781366</c:v>
                </c:pt>
                <c:pt idx="2">
                  <c:v>-17.320508075688775</c:v>
                </c:pt>
                <c:pt idx="3">
                  <c:v>-14.142135623730951</c:v>
                </c:pt>
                <c:pt idx="4">
                  <c:v>-10.000000000000002</c:v>
                </c:pt>
                <c:pt idx="5">
                  <c:v>-5.176380902050415</c:v>
                </c:pt>
                <c:pt idx="6">
                  <c:v>-1.22514845490862E-15</c:v>
                </c:pt>
                <c:pt idx="7">
                  <c:v>5.176380902050417</c:v>
                </c:pt>
                <c:pt idx="8">
                  <c:v>9.999999999999996</c:v>
                </c:pt>
                <c:pt idx="9">
                  <c:v>14.14213562373095</c:v>
                </c:pt>
                <c:pt idx="10">
                  <c:v>17.320508075688775</c:v>
                </c:pt>
                <c:pt idx="11">
                  <c:v>19.318516525781362</c:v>
                </c:pt>
                <c:pt idx="12">
                  <c:v>20</c:v>
                </c:pt>
                <c:pt idx="13">
                  <c:v>19.318516525781366</c:v>
                </c:pt>
                <c:pt idx="14">
                  <c:v>17.32050807568877</c:v>
                </c:pt>
                <c:pt idx="15">
                  <c:v>14.142135623730955</c:v>
                </c:pt>
                <c:pt idx="16">
                  <c:v>10.000000000000009</c:v>
                </c:pt>
                <c:pt idx="17">
                  <c:v>5.176380902050413</c:v>
                </c:pt>
                <c:pt idx="18">
                  <c:v>3.67544536472586E-15</c:v>
                </c:pt>
                <c:pt idx="19">
                  <c:v>-5.176380902050406</c:v>
                </c:pt>
                <c:pt idx="20">
                  <c:v>-10.000000000000002</c:v>
                </c:pt>
                <c:pt idx="21">
                  <c:v>-14.142135623730947</c:v>
                </c:pt>
                <c:pt idx="22">
                  <c:v>-17.320508075688767</c:v>
                </c:pt>
                <c:pt idx="23">
                  <c:v>-19.318516525781366</c:v>
                </c:pt>
                <c:pt idx="24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расчет!$A$205</c:f>
              <c:strCache>
                <c:ptCount val="1"/>
                <c:pt idx="0">
                  <c:v>Wp2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расчет!$B$205:$IV$205</c:f>
              <c:numCache>
                <c:ptCount val="25"/>
                <c:pt idx="0">
                  <c:v>23.478260869565215</c:v>
                </c:pt>
                <c:pt idx="1">
                  <c:v>19.426279456695244</c:v>
                </c:pt>
                <c:pt idx="2">
                  <c:v>16.337175509662394</c:v>
                </c:pt>
                <c:pt idx="3">
                  <c:v>13.612975439101955</c:v>
                </c:pt>
                <c:pt idx="4">
                  <c:v>10.041976338688393</c:v>
                </c:pt>
                <c:pt idx="5">
                  <c:v>5.259844543934009</c:v>
                </c:pt>
                <c:pt idx="6">
                  <c:v>-0.4422845105654339</c:v>
                </c:pt>
                <c:pt idx="7">
                  <c:v>-6.517557767371189</c:v>
                </c:pt>
                <c:pt idx="8">
                  <c:v>-12.377614193627407</c:v>
                </c:pt>
                <c:pt idx="9">
                  <c:v>-17.4875960129094</c:v>
                </c:pt>
                <c:pt idx="10">
                  <c:v>-21.412174550633143</c:v>
                </c:pt>
                <c:pt idx="11">
                  <c:v>-23.840298653955912</c:v>
                </c:pt>
                <c:pt idx="12">
                  <c:v>-24.595986551516287</c:v>
                </c:pt>
                <c:pt idx="13">
                  <c:v>-23.636592099235937</c:v>
                </c:pt>
                <c:pt idx="14">
                  <c:v>-21.03997253682181</c:v>
                </c:pt>
                <c:pt idx="15">
                  <c:v>-16.98342061202826</c:v>
                </c:pt>
                <c:pt idx="16">
                  <c:v>-11.718032355725683</c:v>
                </c:pt>
                <c:pt idx="17">
                  <c:v>-5.542257365861389</c:v>
                </c:pt>
                <c:pt idx="18">
                  <c:v>1.220396157467497</c:v>
                </c:pt>
                <c:pt idx="19">
                  <c:v>8.228050313422376</c:v>
                </c:pt>
                <c:pt idx="20">
                  <c:v>15.081388573083146</c:v>
                </c:pt>
                <c:pt idx="21">
                  <c:v>21.17666055282095</c:v>
                </c:pt>
                <c:pt idx="22">
                  <c:v>25.425953085430834</c:v>
                </c:pt>
                <c:pt idx="23">
                  <c:v>26.304826334214532</c:v>
                </c:pt>
                <c:pt idx="24">
                  <c:v>23.478260869565215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расчет!$A$213</c:f>
              <c:strCache>
                <c:ptCount val="1"/>
                <c:pt idx="0">
                  <c:v>Wp3 =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расчет!$B$213:$IV$213</c:f>
              <c:numCache>
                <c:ptCount val="25"/>
                <c:pt idx="0">
                  <c:v>-5.869565217391308</c:v>
                </c:pt>
                <c:pt idx="1">
                  <c:v>-5.318761399903959</c:v>
                </c:pt>
                <c:pt idx="2">
                  <c:v>-3.1645617303758096</c:v>
                </c:pt>
                <c:pt idx="3">
                  <c:v>-0.726983174157336</c:v>
                </c:pt>
                <c:pt idx="4">
                  <c:v>1.1904157153973265</c:v>
                </c:pt>
                <c:pt idx="5">
                  <c:v>2.4278484969927865</c:v>
                </c:pt>
                <c:pt idx="6">
                  <c:v>3.079185298051886</c:v>
                </c:pt>
                <c:pt idx="7">
                  <c:v>3.2850443239439917</c:v>
                </c:pt>
                <c:pt idx="8">
                  <c:v>3.1751578643843676</c:v>
                </c:pt>
                <c:pt idx="9">
                  <c:v>2.8598157484810183</c:v>
                </c:pt>
                <c:pt idx="10">
                  <c:v>2.4306049286010922</c:v>
                </c:pt>
                <c:pt idx="11">
                  <c:v>1.9607883036697271</c:v>
                </c:pt>
                <c:pt idx="12">
                  <c:v>1.5047984333399358</c:v>
                </c:pt>
                <c:pt idx="13">
                  <c:v>1.0981906410810485</c:v>
                </c:pt>
                <c:pt idx="14">
                  <c:v>0.7590055827702786</c:v>
                </c:pt>
                <c:pt idx="15">
                  <c:v>0.49041728010318664</c:v>
                </c:pt>
                <c:pt idx="16">
                  <c:v>0.2834897624017165</c:v>
                </c:pt>
                <c:pt idx="17">
                  <c:v>0.11810259230991597</c:v>
                </c:pt>
                <c:pt idx="18">
                  <c:v>-0.04062590416446994</c:v>
                </c:pt>
                <c:pt idx="19">
                  <c:v>-0.2542827676606122</c:v>
                </c:pt>
                <c:pt idx="20">
                  <c:v>-0.6357790058930453</c:v>
                </c:pt>
                <c:pt idx="21">
                  <c:v>-1.3790275445796616</c:v>
                </c:pt>
                <c:pt idx="22">
                  <c:v>-2.715695580671777</c:v>
                </c:pt>
                <c:pt idx="23">
                  <c:v>-4.557582787957274</c:v>
                </c:pt>
                <c:pt idx="24">
                  <c:v>-5.869565217391309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расчет!$A$221</c:f>
              <c:strCache>
                <c:ptCount val="1"/>
                <c:pt idx="0">
                  <c:v>Wp4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расчет!$B$221:$IV$221</c:f>
              <c:numCache>
                <c:ptCount val="25"/>
                <c:pt idx="0">
                  <c:v>-9.130434782608699</c:v>
                </c:pt>
                <c:pt idx="1">
                  <c:v>-7.442562057103583</c:v>
                </c:pt>
                <c:pt idx="2">
                  <c:v>-4.162299651206348</c:v>
                </c:pt>
                <c:pt idx="3">
                  <c:v>-0.9328477451827505</c:v>
                </c:pt>
                <c:pt idx="4">
                  <c:v>1.533046758593624</c:v>
                </c:pt>
                <c:pt idx="5">
                  <c:v>3.203025121133921</c:v>
                </c:pt>
                <c:pt idx="6">
                  <c:v>4.224742500118378</c:v>
                </c:pt>
                <c:pt idx="7">
                  <c:v>4.7434882730784516</c:v>
                </c:pt>
                <c:pt idx="8">
                  <c:v>4.875976006666798</c:v>
                </c:pt>
                <c:pt idx="9">
                  <c:v>4.718764243310955</c:v>
                </c:pt>
                <c:pt idx="10">
                  <c:v>4.356106287108355</c:v>
                </c:pt>
                <c:pt idx="11">
                  <c:v>3.8621158330302787</c:v>
                </c:pt>
                <c:pt idx="12">
                  <c:v>3.299017679123576</c:v>
                </c:pt>
                <c:pt idx="13">
                  <c:v>2.714080632719254</c:v>
                </c:pt>
                <c:pt idx="14">
                  <c:v>2.137157952371709</c:v>
                </c:pt>
                <c:pt idx="15">
                  <c:v>1.5795373697399049</c:v>
                </c:pt>
                <c:pt idx="16">
                  <c:v>1.033423891714062</c:v>
                </c:pt>
                <c:pt idx="17">
                  <c:v>0.47020137575022153</c:v>
                </c:pt>
                <c:pt idx="18">
                  <c:v>-0.16516541475950475</c:v>
                </c:pt>
                <c:pt idx="19">
                  <c:v>-0.9661133720782177</c:v>
                </c:pt>
                <c:pt idx="20">
                  <c:v>-2.0806172448495523</c:v>
                </c:pt>
                <c:pt idx="21">
                  <c:v>-3.7031475827551823</c:v>
                </c:pt>
                <c:pt idx="22">
                  <c:v>-5.9257233791444675</c:v>
                </c:pt>
                <c:pt idx="23">
                  <c:v>-8.241772883453283</c:v>
                </c:pt>
                <c:pt idx="24">
                  <c:v>-9.130434782608702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расчет!$A$229</c:f>
              <c:strCache>
                <c:ptCount val="1"/>
                <c:pt idx="0">
                  <c:v>Wp5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расчет!$B$229:$IV$229</c:f>
              <c:numCache>
                <c:ptCount val="25"/>
                <c:pt idx="0">
                  <c:v>7.254753972833246</c:v>
                </c:pt>
                <c:pt idx="1">
                  <c:v>2.376816858581562</c:v>
                </c:pt>
                <c:pt idx="2">
                  <c:v>0.09738902435216634</c:v>
                </c:pt>
                <c:pt idx="3">
                  <c:v>-0.09174587546691285</c:v>
                </c:pt>
                <c:pt idx="4">
                  <c:v>0.12327319433501217</c:v>
                </c:pt>
                <c:pt idx="5">
                  <c:v>-0.12241265900620843</c:v>
                </c:pt>
                <c:pt idx="6">
                  <c:v>-0.9577807039119155</c:v>
                </c:pt>
                <c:pt idx="7">
                  <c:v>-2.2032320532917877</c:v>
                </c:pt>
                <c:pt idx="8">
                  <c:v>-3.602797800326924</c:v>
                </c:pt>
                <c:pt idx="9">
                  <c:v>-4.917987642656712</c:v>
                </c:pt>
                <c:pt idx="10">
                  <c:v>-5.9636265750576065</c:v>
                </c:pt>
                <c:pt idx="11">
                  <c:v>-6.619849951656929</c:v>
                </c:pt>
                <c:pt idx="12">
                  <c:v>-6.830490476239078</c:v>
                </c:pt>
                <c:pt idx="13">
                  <c:v>-6.590769713707891</c:v>
                </c:pt>
                <c:pt idx="14">
                  <c:v>-5.927116618260562</c:v>
                </c:pt>
                <c:pt idx="15">
                  <c:v>-4.873601301293257</c:v>
                </c:pt>
                <c:pt idx="16">
                  <c:v>-3.4500163245983853</c:v>
                </c:pt>
                <c:pt idx="17">
                  <c:v>-1.6459187581364778</c:v>
                </c:pt>
                <c:pt idx="18">
                  <c:v>0.5841713253283378</c:v>
                </c:pt>
                <c:pt idx="19">
                  <c:v>3.3004923094048664</c:v>
                </c:pt>
                <c:pt idx="20">
                  <c:v>6.491093692589056</c:v>
                </c:pt>
                <c:pt idx="21">
                  <c:v>9.824484284768184</c:v>
                </c:pt>
                <c:pt idx="22">
                  <c:v>12.180507730220082</c:v>
                </c:pt>
                <c:pt idx="23">
                  <c:v>11.564364021211091</c:v>
                </c:pt>
                <c:pt idx="24">
                  <c:v>7.254753972833246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расчет!$A$237</c:f>
              <c:strCache>
                <c:ptCount val="1"/>
                <c:pt idx="0">
                  <c:v>Wp6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расчет!$B$237:$IV$237</c:f>
              <c:numCache>
                <c:ptCount val="25"/>
                <c:pt idx="0">
                  <c:v>17.87183646231478</c:v>
                </c:pt>
                <c:pt idx="1">
                  <c:v>13.158681133803128</c:v>
                </c:pt>
                <c:pt idx="2">
                  <c:v>7.020827787675237</c:v>
                </c:pt>
                <c:pt idx="3">
                  <c:v>1.5511865098721997</c:v>
                </c:pt>
                <c:pt idx="4">
                  <c:v>-2.554062283073815</c:v>
                </c:pt>
                <c:pt idx="5">
                  <c:v>-5.4133471565286575</c:v>
                </c:pt>
                <c:pt idx="6">
                  <c:v>-7.347881882352091</c:v>
                </c:pt>
                <c:pt idx="7">
                  <c:v>-8.627385564357867</c:v>
                </c:pt>
                <c:pt idx="8">
                  <c:v>-9.420102852065819</c:v>
                </c:pt>
                <c:pt idx="9">
                  <c:v>-9.812791752449256</c:v>
                </c:pt>
                <c:pt idx="10">
                  <c:v>-9.844270158586921</c:v>
                </c:pt>
                <c:pt idx="11">
                  <c:v>-9.534663352275407</c:v>
                </c:pt>
                <c:pt idx="12">
                  <c:v>-8.904588686359157</c:v>
                </c:pt>
                <c:pt idx="13">
                  <c:v>-7.98205687891191</c:v>
                </c:pt>
                <c:pt idx="14">
                  <c:v>-6.797786850008805</c:v>
                </c:pt>
                <c:pt idx="15">
                  <c:v>-5.372588782554057</c:v>
                </c:pt>
                <c:pt idx="16">
                  <c:v>-3.701578296870878</c:v>
                </c:pt>
                <c:pt idx="17">
                  <c:v>-1.738798847488159</c:v>
                </c:pt>
                <c:pt idx="18">
                  <c:v>0.6150995608291132</c:v>
                </c:pt>
                <c:pt idx="19">
                  <c:v>3.5143315484331765</c:v>
                </c:pt>
                <c:pt idx="20">
                  <c:v>7.12775825861958</c:v>
                </c:pt>
                <c:pt idx="21">
                  <c:v>11.466906404551862</c:v>
                </c:pt>
                <c:pt idx="22">
                  <c:v>15.935903495193276</c:v>
                </c:pt>
                <c:pt idx="23">
                  <c:v>18.7893721362792</c:v>
                </c:pt>
                <c:pt idx="24">
                  <c:v>17.871836462314782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расчет!$A$245</c:f>
              <c:strCache>
                <c:ptCount val="1"/>
                <c:pt idx="0">
                  <c:v>Wp7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расчет!$B$245:$IV$245</c:f>
              <c:numCache>
                <c:ptCount val="25"/>
                <c:pt idx="0">
                  <c:v>2.6961928618334725</c:v>
                </c:pt>
                <c:pt idx="1">
                  <c:v>2.063162902431332</c:v>
                </c:pt>
                <c:pt idx="2">
                  <c:v>1.1524241821351593</c:v>
                </c:pt>
                <c:pt idx="3">
                  <c:v>0.26071521640638773</c:v>
                </c:pt>
                <c:pt idx="4">
                  <c:v>-0.4277055399703492</c:v>
                </c:pt>
                <c:pt idx="5">
                  <c:v>-0.8861771850672542</c:v>
                </c:pt>
                <c:pt idx="6">
                  <c:v>-1.1666141722243442</c:v>
                </c:pt>
                <c:pt idx="7">
                  <c:v>-1.3308232705448386</c:v>
                </c:pt>
                <c:pt idx="8">
                  <c:v>-1.4244788167460742</c:v>
                </c:pt>
                <c:pt idx="9">
                  <c:v>-1.4746031219464475</c:v>
                </c:pt>
                <c:pt idx="10">
                  <c:v>-1.4938118241046237</c:v>
                </c:pt>
                <c:pt idx="11">
                  <c:v>-1.4847436213926204</c:v>
                </c:pt>
                <c:pt idx="12">
                  <c:v>-1.4432580942282929</c:v>
                </c:pt>
                <c:pt idx="13">
                  <c:v>-1.3605649047798907</c:v>
                </c:pt>
                <c:pt idx="14">
                  <c:v>-1.2246864210192596</c:v>
                </c:pt>
                <c:pt idx="15">
                  <c:v>-1.0216229043564509</c:v>
                </c:pt>
                <c:pt idx="16">
                  <c:v>-0.7366573201449194</c:v>
                </c:pt>
                <c:pt idx="17">
                  <c:v>-0.3564700203395616</c:v>
                </c:pt>
                <c:pt idx="18">
                  <c:v>0.12695103055712154</c:v>
                </c:pt>
                <c:pt idx="19">
                  <c:v>0.7094105496759189</c:v>
                </c:pt>
                <c:pt idx="20">
                  <c:v>1.3636733481772365</c:v>
                </c:pt>
                <c:pt idx="21">
                  <c:v>2.0251070627452945</c:v>
                </c:pt>
                <c:pt idx="22">
                  <c:v>2.577986319137822</c:v>
                </c:pt>
                <c:pt idx="23">
                  <c:v>2.8565937436762057</c:v>
                </c:pt>
                <c:pt idx="24">
                  <c:v>2.696192861833473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расчет!$A$253</c:f>
              <c:strCache>
                <c:ptCount val="1"/>
                <c:pt idx="0">
                  <c:v>Wp8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расчет!$B$253:$IV$253</c:f>
              <c:numCache>
                <c:ptCount val="25"/>
                <c:pt idx="0">
                  <c:v>-6.953158974764397</c:v>
                </c:pt>
                <c:pt idx="1">
                  <c:v>-4.151875774569253</c:v>
                </c:pt>
                <c:pt idx="2">
                  <c:v>-1.7363632679311962</c:v>
                </c:pt>
                <c:pt idx="3">
                  <c:v>-0.33188880940572707</c:v>
                </c:pt>
                <c:pt idx="4">
                  <c:v>0.5595047386618899</c:v>
                </c:pt>
                <c:pt idx="5">
                  <c:v>1.3596531368781284</c:v>
                </c:pt>
                <c:pt idx="6">
                  <c:v>2.175935945531194</c:v>
                </c:pt>
                <c:pt idx="7">
                  <c:v>2.9542201073956824</c:v>
                </c:pt>
                <c:pt idx="8">
                  <c:v>3.6031835865052306</c:v>
                </c:pt>
                <c:pt idx="9">
                  <c:v>4.0488923910715835</c:v>
                </c:pt>
                <c:pt idx="10">
                  <c:v>4.252156103375921</c:v>
                </c:pt>
                <c:pt idx="11">
                  <c:v>4.209517510466392</c:v>
                </c:pt>
                <c:pt idx="12">
                  <c:v>3.9462960600646273</c:v>
                </c:pt>
                <c:pt idx="13">
                  <c:v>3.505270835610946</c:v>
                </c:pt>
                <c:pt idx="14">
                  <c:v>2.9335244022637044</c:v>
                </c:pt>
                <c:pt idx="15">
                  <c:v>2.269597682770013</c:v>
                </c:pt>
                <c:pt idx="16">
                  <c:v>1.5320951356260055</c:v>
                </c:pt>
                <c:pt idx="17">
                  <c:v>0.7094210256677356</c:v>
                </c:pt>
                <c:pt idx="18">
                  <c:v>-0.2501145827518191</c:v>
                </c:pt>
                <c:pt idx="19">
                  <c:v>-1.4447569675749135</c:v>
                </c:pt>
                <c:pt idx="20">
                  <c:v>-3.0031836870834216</c:v>
                </c:pt>
                <c:pt idx="21">
                  <c:v>-4.982705239345952</c:v>
                </c:pt>
                <c:pt idx="22">
                  <c:v>-7.063343907561523</c:v>
                </c:pt>
                <c:pt idx="23">
                  <c:v>-8.141877588820407</c:v>
                </c:pt>
                <c:pt idx="24">
                  <c:v>-6.953158974764399</c:v>
                </c:pt>
              </c:numCache>
            </c:numRef>
          </c:val>
          <c:smooth val="0"/>
        </c:ser>
        <c:marker val="1"/>
        <c:axId val="27275397"/>
        <c:axId val="44151982"/>
      </c:lineChart>
      <c:catAx>
        <c:axId val="27275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151982"/>
        <c:crosses val="autoZero"/>
        <c:auto val="1"/>
        <c:lblOffset val="100"/>
        <c:noMultiLvlLbl val="0"/>
      </c:catAx>
      <c:valAx>
        <c:axId val="44151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27539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75"/>
          <c:y val="0"/>
        </c:manualLayout>
      </c:layout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4175"/>
          <c:w val="0.943"/>
          <c:h val="0.958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расчет!$A$196</c:f>
              <c:strCache>
                <c:ptCount val="1"/>
                <c:pt idx="0">
                  <c:v>Wk1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расчет!$B$196:$IV$196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расчет!$A$204</c:f>
              <c:strCache>
                <c:ptCount val="1"/>
                <c:pt idx="0">
                  <c:v>Wk2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расчет!$B$204:$IV$204</c:f>
              <c:numCache>
                <c:ptCount val="25"/>
                <c:pt idx="0">
                  <c:v>-8.634642309587742</c:v>
                </c:pt>
                <c:pt idx="1">
                  <c:v>-7.36945444663259</c:v>
                </c:pt>
                <c:pt idx="2">
                  <c:v>-0.9599825793553827</c:v>
                </c:pt>
                <c:pt idx="3">
                  <c:v>3.125018503759171</c:v>
                </c:pt>
                <c:pt idx="4">
                  <c:v>3.8849247795809556</c:v>
                </c:pt>
                <c:pt idx="5">
                  <c:v>3.054711174057063</c:v>
                </c:pt>
                <c:pt idx="6">
                  <c:v>1.8235204730434393</c:v>
                </c:pt>
                <c:pt idx="7">
                  <c:v>0.6616404142063168</c:v>
                </c:pt>
                <c:pt idx="8">
                  <c:v>-0.2948871816427095</c:v>
                </c:pt>
                <c:pt idx="9">
                  <c:v>-1.0215482427097824</c:v>
                </c:pt>
                <c:pt idx="10">
                  <c:v>-1.5209829301990667</c:v>
                </c:pt>
                <c:pt idx="11">
                  <c:v>-1.7996999866302466</c:v>
                </c:pt>
                <c:pt idx="12">
                  <c:v>-1.8661715246433912</c:v>
                </c:pt>
                <c:pt idx="13">
                  <c:v>-1.7331619555701485</c:v>
                </c:pt>
                <c:pt idx="14">
                  <c:v>-1.4171460183873128</c:v>
                </c:pt>
                <c:pt idx="15">
                  <c:v>-0.9330959673931357</c:v>
                </c:pt>
                <c:pt idx="16">
                  <c:v>-0.2863958757667603</c:v>
                </c:pt>
                <c:pt idx="17">
                  <c:v>0.5342880738040453</c:v>
                </c:pt>
                <c:pt idx="18">
                  <c:v>1.5561104938186783</c:v>
                </c:pt>
                <c:pt idx="19">
                  <c:v>2.7931486533602654</c:v>
                </c:pt>
                <c:pt idx="20">
                  <c:v>4.126948329087894</c:v>
                </c:pt>
                <c:pt idx="21">
                  <c:v>4.946641848572368</c:v>
                </c:pt>
                <c:pt idx="22">
                  <c:v>3.5195742819685325</c:v>
                </c:pt>
                <c:pt idx="23">
                  <c:v>-2.1893637663718333</c:v>
                </c:pt>
                <c:pt idx="24">
                  <c:v>-8.634642309587742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расчет!$A$212</c:f>
              <c:strCache>
                <c:ptCount val="1"/>
                <c:pt idx="0">
                  <c:v>Wk3 =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расчет!$B$212:$IV$212</c:f>
              <c:numCache>
                <c:ptCount val="25"/>
                <c:pt idx="0">
                  <c:v>-0.46667962937763396</c:v>
                </c:pt>
                <c:pt idx="1">
                  <c:v>-1.1170486953627885</c:v>
                </c:pt>
                <c:pt idx="2">
                  <c:v>-0.710229159346067</c:v>
                </c:pt>
                <c:pt idx="3">
                  <c:v>-0.13105742921908672</c:v>
                </c:pt>
                <c:pt idx="4">
                  <c:v>0.15293297361524996</c:v>
                </c:pt>
                <c:pt idx="5">
                  <c:v>0.20940904244721598</c:v>
                </c:pt>
                <c:pt idx="6">
                  <c:v>0.16789080226758696</c:v>
                </c:pt>
                <c:pt idx="7">
                  <c:v>0.0991568454186958</c:v>
                </c:pt>
                <c:pt idx="8">
                  <c:v>0.03218885575854363</c:v>
                </c:pt>
                <c:pt idx="9">
                  <c:v>-0.022823993521143518</c:v>
                </c:pt>
                <c:pt idx="10">
                  <c:v>-0.06303403605408997</c:v>
                </c:pt>
                <c:pt idx="11">
                  <c:v>-0.08853036118536292</c:v>
                </c:pt>
                <c:pt idx="12">
                  <c:v>-0.10086164594318361</c:v>
                </c:pt>
                <c:pt idx="13">
                  <c:v>-0.10241150330828583</c:v>
                </c:pt>
                <c:pt idx="14">
                  <c:v>-0.09576407967879619</c:v>
                </c:pt>
                <c:pt idx="15">
                  <c:v>-0.08281936758520914</c:v>
                </c:pt>
                <c:pt idx="16">
                  <c:v>-0.0636056709628206</c:v>
                </c:pt>
                <c:pt idx="17">
                  <c:v>-0.0345200667849001</c:v>
                </c:pt>
                <c:pt idx="18">
                  <c:v>0.014769332396832112</c:v>
                </c:pt>
                <c:pt idx="19">
                  <c:v>0.10665234829286836</c:v>
                </c:pt>
                <c:pt idx="20">
                  <c:v>0.28008762398640447</c:v>
                </c:pt>
                <c:pt idx="21">
                  <c:v>0.5673093695577798</c:v>
                </c:pt>
                <c:pt idx="22">
                  <c:v>0.8485683359217091</c:v>
                </c:pt>
                <c:pt idx="23">
                  <c:v>0.6004197973736047</c:v>
                </c:pt>
                <c:pt idx="24">
                  <c:v>-0.4666796293776341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расчет!$A$220</c:f>
              <c:strCache>
                <c:ptCount val="1"/>
                <c:pt idx="0">
                  <c:v>Wk4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расчет!$B$220:$IV$220</c:f>
              <c:numCache>
                <c:ptCount val="25"/>
                <c:pt idx="0">
                  <c:v>-0.5331108933459805</c:v>
                </c:pt>
                <c:pt idx="1">
                  <c:v>-1.276059185805891</c:v>
                </c:pt>
                <c:pt idx="2">
                  <c:v>-0.8113293955519121</c:v>
                </c:pt>
                <c:pt idx="3">
                  <c:v>-0.14971329102963304</c:v>
                </c:pt>
                <c:pt idx="4">
                  <c:v>0.17470279192347032</c:v>
                </c:pt>
                <c:pt idx="5">
                  <c:v>0.23921815880980873</c:v>
                </c:pt>
                <c:pt idx="6">
                  <c:v>0.19178984885372047</c:v>
                </c:pt>
                <c:pt idx="7">
                  <c:v>0.1132716988590795</c:v>
                </c:pt>
                <c:pt idx="8">
                  <c:v>0.036770899282891525</c:v>
                </c:pt>
                <c:pt idx="9">
                  <c:v>-0.026072960570416616</c:v>
                </c:pt>
                <c:pt idx="10">
                  <c:v>-0.07200685257424513</c:v>
                </c:pt>
                <c:pt idx="11">
                  <c:v>-0.10113254783096626</c:v>
                </c:pt>
                <c:pt idx="12">
                  <c:v>-0.11521917561481118</c:v>
                </c:pt>
                <c:pt idx="13">
                  <c:v>-0.11698965324540828</c:v>
                </c:pt>
                <c:pt idx="14">
                  <c:v>-0.10939597714197007</c:v>
                </c:pt>
                <c:pt idx="15">
                  <c:v>-0.09460860140516772</c:v>
                </c:pt>
                <c:pt idx="16">
                  <c:v>-0.07265985900023278</c:v>
                </c:pt>
                <c:pt idx="17">
                  <c:v>-0.0394339552952062</c:v>
                </c:pt>
                <c:pt idx="18">
                  <c:v>0.016871728467555542</c:v>
                </c:pt>
                <c:pt idx="19">
                  <c:v>0.12183417723135492</c:v>
                </c:pt>
                <c:pt idx="20">
                  <c:v>0.3199577483972806</c:v>
                </c:pt>
                <c:pt idx="21">
                  <c:v>0.6480651517012364</c:v>
                </c:pt>
                <c:pt idx="22">
                  <c:v>0.969360981604514</c:v>
                </c:pt>
                <c:pt idx="23">
                  <c:v>0.6858888076758973</c:v>
                </c:pt>
                <c:pt idx="24">
                  <c:v>-0.5331108933459806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расчет!$A$228</c:f>
              <c:strCache>
                <c:ptCount val="1"/>
                <c:pt idx="0">
                  <c:v>Wk5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расчет!$B$228:$IV$228</c:f>
              <c:numCache>
                <c:ptCount val="25"/>
                <c:pt idx="0">
                  <c:v>-2.4411055272104276</c:v>
                </c:pt>
                <c:pt idx="1">
                  <c:v>-5.027928329159018</c:v>
                </c:pt>
                <c:pt idx="2">
                  <c:v>-3.114245016896088</c:v>
                </c:pt>
                <c:pt idx="3">
                  <c:v>-0.5707366493038211</c:v>
                </c:pt>
                <c:pt idx="4">
                  <c:v>0.6666842363565342</c:v>
                </c:pt>
                <c:pt idx="5">
                  <c:v>0.9205606207005284</c:v>
                </c:pt>
                <c:pt idx="6">
                  <c:v>0.7540957224424905</c:v>
                </c:pt>
                <c:pt idx="7">
                  <c:v>0.47092256876780836</c:v>
                </c:pt>
                <c:pt idx="8">
                  <c:v>0.19218395964193957</c:v>
                </c:pt>
                <c:pt idx="9">
                  <c:v>-0.04305406217366334</c:v>
                </c:pt>
                <c:pt idx="10">
                  <c:v>-0.22620230442148948</c:v>
                </c:pt>
                <c:pt idx="11">
                  <c:v>-0.3577827166460546</c:v>
                </c:pt>
                <c:pt idx="12">
                  <c:v>-0.44029534617641314</c:v>
                </c:pt>
                <c:pt idx="13">
                  <c:v>-0.4770405728940791</c:v>
                </c:pt>
                <c:pt idx="14">
                  <c:v>-0.4720219012208059</c:v>
                </c:pt>
                <c:pt idx="15">
                  <c:v>-0.4278782745240672</c:v>
                </c:pt>
                <c:pt idx="16">
                  <c:v>-0.3403960178876431</c:v>
                </c:pt>
                <c:pt idx="17">
                  <c:v>-0.18865204036296226</c:v>
                </c:pt>
                <c:pt idx="18">
                  <c:v>0.08107647121782836</c:v>
                </c:pt>
                <c:pt idx="19">
                  <c:v>0.5773795819649937</c:v>
                </c:pt>
                <c:pt idx="20">
                  <c:v>1.465183941793962</c:v>
                </c:pt>
                <c:pt idx="21">
                  <c:v>2.803354598384635</c:v>
                </c:pt>
                <c:pt idx="22">
                  <c:v>3.859462222075704</c:v>
                </c:pt>
                <c:pt idx="23">
                  <c:v>2.3364356130146966</c:v>
                </c:pt>
                <c:pt idx="24">
                  <c:v>-2.4411055272104285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расчет!$A$236</c:f>
              <c:strCache>
                <c:ptCount val="1"/>
                <c:pt idx="0">
                  <c:v>Wk6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расчет!$B$236:$IV$236</c:f>
              <c:numCache>
                <c:ptCount val="25"/>
                <c:pt idx="0">
                  <c:v>-2.8077580011730676</c:v>
                </c:pt>
                <c:pt idx="1">
                  <c:v>-3.942584011544244</c:v>
                </c:pt>
                <c:pt idx="2">
                  <c:v>-2.155750888098151</c:v>
                </c:pt>
                <c:pt idx="3">
                  <c:v>-0.37990263649244094</c:v>
                </c:pt>
                <c:pt idx="4">
                  <c:v>0.44641419282798367</c:v>
                </c:pt>
                <c:pt idx="5">
                  <c:v>0.6462112286269864</c:v>
                </c:pt>
                <c:pt idx="6">
                  <c:v>0.5877733531684617</c:v>
                </c:pt>
                <c:pt idx="7">
                  <c:v>0.4464006156564726</c:v>
                </c:pt>
                <c:pt idx="8">
                  <c:v>0.2798668256581717</c:v>
                </c:pt>
                <c:pt idx="9">
                  <c:v>0.1039521564210213</c:v>
                </c:pt>
                <c:pt idx="10">
                  <c:v>-0.07120272919682029</c:v>
                </c:pt>
                <c:pt idx="11">
                  <c:v>-0.23011106541877308</c:v>
                </c:pt>
                <c:pt idx="12">
                  <c:v>-0.35442483510678624</c:v>
                </c:pt>
                <c:pt idx="13">
                  <c:v>-0.43018280454560986</c:v>
                </c:pt>
                <c:pt idx="14">
                  <c:v>-0.45235564150141766</c:v>
                </c:pt>
                <c:pt idx="15">
                  <c:v>-0.4225709066596125</c:v>
                </c:pt>
                <c:pt idx="16">
                  <c:v>-0.34029944913855964</c:v>
                </c:pt>
                <c:pt idx="17">
                  <c:v>-0.18923792800678074</c:v>
                </c:pt>
                <c:pt idx="18">
                  <c:v>0.0813572222767226</c:v>
                </c:pt>
                <c:pt idx="19">
                  <c:v>0.5784714200447016</c:v>
                </c:pt>
                <c:pt idx="20">
                  <c:v>1.4535779726146776</c:v>
                </c:pt>
                <c:pt idx="21">
                  <c:v>2.678995989164644</c:v>
                </c:pt>
                <c:pt idx="22">
                  <c:v>3.2892185998040326</c:v>
                </c:pt>
                <c:pt idx="23">
                  <c:v>1.1841383937018934</c:v>
                </c:pt>
                <c:pt idx="24">
                  <c:v>-2.8077580011730685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расчет!$A$244</c:f>
              <c:strCache>
                <c:ptCount val="1"/>
                <c:pt idx="0">
                  <c:v>Wk7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расчет!$B$244:$IV$244</c:f>
              <c:numCache>
                <c:ptCount val="25"/>
                <c:pt idx="0">
                  <c:v>-5.557118713803814</c:v>
                </c:pt>
                <c:pt idx="1">
                  <c:v>-8.518673752194527</c:v>
                </c:pt>
                <c:pt idx="2">
                  <c:v>-5.484634536303543</c:v>
                </c:pt>
                <c:pt idx="3">
                  <c:v>-1.0564402193495452</c:v>
                </c:pt>
                <c:pt idx="4">
                  <c:v>1.2222169994646084</c:v>
                </c:pt>
                <c:pt idx="5">
                  <c:v>1.5974833028106694</c:v>
                </c:pt>
                <c:pt idx="6">
                  <c:v>1.2498436990950514</c:v>
                </c:pt>
                <c:pt idx="7">
                  <c:v>0.822983749859317</c:v>
                </c:pt>
                <c:pt idx="8">
                  <c:v>0.4924701653574995</c:v>
                </c:pt>
                <c:pt idx="9">
                  <c:v>0.248578534214113</c:v>
                </c:pt>
                <c:pt idx="10">
                  <c:v>0.03967075061481775</c:v>
                </c:pt>
                <c:pt idx="11">
                  <c:v>-0.18024664022054662</c:v>
                </c:pt>
                <c:pt idx="12">
                  <c:v>-0.4377505067453593</c:v>
                </c:pt>
                <c:pt idx="13">
                  <c:v>-0.7326248132790097</c:v>
                </c:pt>
                <c:pt idx="14">
                  <c:v>-1.028609466776356</c:v>
                </c:pt>
                <c:pt idx="15">
                  <c:v>-1.2410851046410818</c:v>
                </c:pt>
                <c:pt idx="16">
                  <c:v>-1.2247393562810704</c:v>
                </c:pt>
                <c:pt idx="17">
                  <c:v>-0.7729225774724965</c:v>
                </c:pt>
                <c:pt idx="18">
                  <c:v>0.34161253504339034</c:v>
                </c:pt>
                <c:pt idx="19">
                  <c:v>2.231327047034662</c:v>
                </c:pt>
                <c:pt idx="20">
                  <c:v>4.611575815829126</c:v>
                </c:pt>
                <c:pt idx="21">
                  <c:v>6.426989786584284</c:v>
                </c:pt>
                <c:pt idx="22">
                  <c:v>5.785525176129473</c:v>
                </c:pt>
                <c:pt idx="23">
                  <c:v>1.1645683074018836</c:v>
                </c:pt>
                <c:pt idx="24">
                  <c:v>-5.557118713803817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расчет!$A$252</c:f>
              <c:strCache>
                <c:ptCount val="1"/>
                <c:pt idx="0">
                  <c:v>Wk8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расчет!$B$252:$IV$252</c:f>
              <c:numCache>
                <c:ptCount val="25"/>
                <c:pt idx="0">
                  <c:v>-8.718140054137985</c:v>
                </c:pt>
                <c:pt idx="1">
                  <c:v>-6.098941639227758</c:v>
                </c:pt>
                <c:pt idx="2">
                  <c:v>-2.6105601824822293</c:v>
                </c:pt>
                <c:pt idx="3">
                  <c:v>-0.4300135883963104</c:v>
                </c:pt>
                <c:pt idx="4">
                  <c:v>0.5111771315569337</c:v>
                </c:pt>
                <c:pt idx="5">
                  <c:v>0.81911254659853</c:v>
                </c:pt>
                <c:pt idx="6">
                  <c:v>0.9376867026985888</c:v>
                </c:pt>
                <c:pt idx="7">
                  <c:v>1.026381727824633</c:v>
                </c:pt>
                <c:pt idx="8">
                  <c:v>1.0956660108677652</c:v>
                </c:pt>
                <c:pt idx="9">
                  <c:v>1.1122121527703461</c:v>
                </c:pt>
                <c:pt idx="10">
                  <c:v>1.0378898042418743</c:v>
                </c:pt>
                <c:pt idx="11">
                  <c:v>0.8426374174109771</c:v>
                </c:pt>
                <c:pt idx="12">
                  <c:v>0.5144567370170299</c:v>
                </c:pt>
                <c:pt idx="13">
                  <c:v>0.07202978221473247</c:v>
                </c:pt>
                <c:pt idx="14">
                  <c:v>-0.42121461985763825</c:v>
                </c:pt>
                <c:pt idx="15">
                  <c:v>-0.8441845193362791</c:v>
                </c:pt>
                <c:pt idx="16">
                  <c:v>-1.011798741869197</c:v>
                </c:pt>
                <c:pt idx="17">
                  <c:v>-0.692195419285945</c:v>
                </c:pt>
                <c:pt idx="18">
                  <c:v>0.3104782327101162</c:v>
                </c:pt>
                <c:pt idx="19">
                  <c:v>1.9371584418937973</c:v>
                </c:pt>
                <c:pt idx="20">
                  <c:v>3.481123911887302</c:v>
                </c:pt>
                <c:pt idx="21">
                  <c:v>3.2781171577423796</c:v>
                </c:pt>
                <c:pt idx="22">
                  <c:v>-0.4414970614230389</c:v>
                </c:pt>
                <c:pt idx="23">
                  <c:v>-6.307798336159958</c:v>
                </c:pt>
                <c:pt idx="24">
                  <c:v>-8.718140054137994</c:v>
                </c:pt>
              </c:numCache>
            </c:numRef>
          </c:val>
          <c:smooth val="0"/>
        </c:ser>
        <c:marker val="1"/>
        <c:axId val="61823519"/>
        <c:axId val="19540760"/>
      </c:lineChart>
      <c:catAx>
        <c:axId val="618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0760"/>
        <c:crosses val="autoZero"/>
        <c:auto val="1"/>
        <c:lblOffset val="100"/>
        <c:noMultiLvlLbl val="0"/>
      </c:catAx>
      <c:valAx>
        <c:axId val="19540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351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06375"/>
        </c:manualLayout>
      </c:layout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0.01375"/>
          <c:w val="0.939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расчет!$A$261</c:f>
              <c:strCache>
                <c:ptCount val="1"/>
                <c:pt idx="0">
                  <c:v>Mo(Wkin)=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расчет!$B$261:$IV$261</c:f>
              <c:numCache>
                <c:ptCount val="25"/>
                <c:pt idx="0">
                  <c:v>-29.15855512863665</c:v>
                </c:pt>
                <c:pt idx="1">
                  <c:v>-33.35069005992682</c:v>
                </c:pt>
                <c:pt idx="2">
                  <c:v>-15.846731758033371</c:v>
                </c:pt>
                <c:pt idx="3">
                  <c:v>0.4071546899683338</c:v>
                </c:pt>
                <c:pt idx="4">
                  <c:v>7.059053105325735</c:v>
                </c:pt>
                <c:pt idx="5">
                  <c:v>7.486706074050803</c:v>
                </c:pt>
                <c:pt idx="6">
                  <c:v>5.712600601569339</c:v>
                </c:pt>
                <c:pt idx="7">
                  <c:v>3.640757620592323</c:v>
                </c:pt>
                <c:pt idx="8">
                  <c:v>1.8342595349241015</c:v>
                </c:pt>
                <c:pt idx="9">
                  <c:v>0.35124358443047454</c:v>
                </c:pt>
                <c:pt idx="10">
                  <c:v>-0.8758682975890197</c:v>
                </c:pt>
                <c:pt idx="11">
                  <c:v>-1.9148659005209727</c:v>
                </c:pt>
                <c:pt idx="12">
                  <c:v>-2.800266297212915</c:v>
                </c:pt>
                <c:pt idx="13">
                  <c:v>-3.520381520627809</c:v>
                </c:pt>
                <c:pt idx="14">
                  <c:v>-3.9965077045642965</c:v>
                </c:pt>
                <c:pt idx="15">
                  <c:v>-4.046242741544553</c:v>
                </c:pt>
                <c:pt idx="16">
                  <c:v>-3.339894970906284</c:v>
                </c:pt>
                <c:pt idx="17">
                  <c:v>-1.3826739134042456</c:v>
                </c:pt>
                <c:pt idx="18">
                  <c:v>2.4022760159311236</c:v>
                </c:pt>
                <c:pt idx="19">
                  <c:v>8.345971669822642</c:v>
                </c:pt>
                <c:pt idx="20">
                  <c:v>15.738455343596648</c:v>
                </c:pt>
                <c:pt idx="21">
                  <c:v>21.349473901707324</c:v>
                </c:pt>
                <c:pt idx="22">
                  <c:v>17.830212536080925</c:v>
                </c:pt>
                <c:pt idx="23">
                  <c:v>-2.525711183363815</c:v>
                </c:pt>
                <c:pt idx="24">
                  <c:v>-29.158555128636664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расчет!$A$342</c:f>
              <c:strCache>
                <c:ptCount val="1"/>
                <c:pt idx="0">
                  <c:v>MO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расчет!$B$342:$IV$342</c:f>
              <c:numCache>
                <c:ptCount val="25"/>
                <c:pt idx="0">
                  <c:v>-19.810669936854346</c:v>
                </c:pt>
                <c:pt idx="1">
                  <c:v>-32.55746546577372</c:v>
                </c:pt>
                <c:pt idx="2">
                  <c:v>-17.62264797941057</c:v>
                </c:pt>
                <c:pt idx="3">
                  <c:v>-0.39356937259478286</c:v>
                </c:pt>
                <c:pt idx="4">
                  <c:v>7.525502027957813</c:v>
                </c:pt>
                <c:pt idx="5">
                  <c:v>8.138759470337117</c:v>
                </c:pt>
                <c:pt idx="6">
                  <c:v>5.277903076217012</c:v>
                </c:pt>
                <c:pt idx="7">
                  <c:v>1.120892571495184</c:v>
                </c:pt>
                <c:pt idx="8">
                  <c:v>-3.3364166702857307</c:v>
                </c:pt>
                <c:pt idx="9">
                  <c:v>-7.57212693893684</c:v>
                </c:pt>
                <c:pt idx="10">
                  <c:v>-11.230376011197169</c:v>
                </c:pt>
                <c:pt idx="11">
                  <c:v>-14.043483306854085</c:v>
                </c:pt>
                <c:pt idx="12">
                  <c:v>-15.82447793302758</c:v>
                </c:pt>
                <c:pt idx="13">
                  <c:v>-16.454306482070844</c:v>
                </c:pt>
                <c:pt idx="14">
                  <c:v>-15.835874117580266</c:v>
                </c:pt>
                <c:pt idx="15">
                  <c:v>-13.815788385432507</c:v>
                </c:pt>
                <c:pt idx="16">
                  <c:v>-10.097170478504355</c:v>
                </c:pt>
                <c:pt idx="17">
                  <c:v>-4.192013009451541</c:v>
                </c:pt>
                <c:pt idx="18">
                  <c:v>4.492988188437415</c:v>
                </c:pt>
                <c:pt idx="19">
                  <c:v>16.25672238139482</c:v>
                </c:pt>
                <c:pt idx="20">
                  <c:v>30.08278927823963</c:v>
                </c:pt>
                <c:pt idx="21">
                  <c:v>41.63561621618187</c:v>
                </c:pt>
                <c:pt idx="22">
                  <c:v>40.925292222996404</c:v>
                </c:pt>
                <c:pt idx="23">
                  <c:v>16.729695266004892</c:v>
                </c:pt>
                <c:pt idx="24">
                  <c:v>-19.810669936854367</c:v>
                </c:pt>
              </c:numCache>
            </c:numRef>
          </c:val>
          <c:smooth val="0"/>
        </c:ser>
        <c:ser>
          <c:idx val="2"/>
          <c:order val="2"/>
          <c:tx>
            <c:v>Mp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расчет!$B$258:$IV$258</c:f>
              <c:numCache>
                <c:ptCount val="25"/>
                <c:pt idx="0">
                  <c:v>9.347885191782307</c:v>
                </c:pt>
                <c:pt idx="1">
                  <c:v>0.7932245941531058</c:v>
                </c:pt>
                <c:pt idx="2">
                  <c:v>-1.775916221377173</c:v>
                </c:pt>
                <c:pt idx="3">
                  <c:v>-0.800724062563134</c:v>
                </c:pt>
                <c:pt idx="4">
                  <c:v>0.46644892263207893</c:v>
                </c:pt>
                <c:pt idx="5">
                  <c:v>0.65205339628631</c:v>
                </c:pt>
                <c:pt idx="6">
                  <c:v>-0.4346975253523277</c:v>
                </c:pt>
                <c:pt idx="7">
                  <c:v>-2.519865049097139</c:v>
                </c:pt>
                <c:pt idx="8">
                  <c:v>-5.170676205209832</c:v>
                </c:pt>
                <c:pt idx="9">
                  <c:v>-7.923370523367309</c:v>
                </c:pt>
                <c:pt idx="10">
                  <c:v>-10.354507713608154</c:v>
                </c:pt>
                <c:pt idx="11">
                  <c:v>-12.128617406333106</c:v>
                </c:pt>
                <c:pt idx="12">
                  <c:v>-13.024211635814673</c:v>
                </c:pt>
                <c:pt idx="13">
                  <c:v>-12.933924961443015</c:v>
                </c:pt>
                <c:pt idx="14">
                  <c:v>-11.839366413015973</c:v>
                </c:pt>
                <c:pt idx="15">
                  <c:v>-9.769545643887966</c:v>
                </c:pt>
                <c:pt idx="16">
                  <c:v>-6.757275507598072</c:v>
                </c:pt>
                <c:pt idx="17">
                  <c:v>-2.8093390960473013</c:v>
                </c:pt>
                <c:pt idx="18">
                  <c:v>2.0907121725062794</c:v>
                </c:pt>
                <c:pt idx="19">
                  <c:v>7.910750711572188</c:v>
                </c:pt>
                <c:pt idx="20">
                  <c:v>14.344333934642995</c:v>
                </c:pt>
                <c:pt idx="21">
                  <c:v>20.28614231447455</c:v>
                </c:pt>
                <c:pt idx="22">
                  <c:v>23.09507968691548</c:v>
                </c:pt>
                <c:pt idx="23">
                  <c:v>19.255406449368703</c:v>
                </c:pt>
                <c:pt idx="24">
                  <c:v>9.347885191782307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расчет!$B$13:$IV$13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49113"/>
        <c:axId val="39297698"/>
      </c:lineChart>
      <c:catAx>
        <c:axId val="4164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7698"/>
        <c:crosses val="autoZero"/>
        <c:auto val="1"/>
        <c:lblOffset val="100"/>
        <c:noMultiLvlLbl val="0"/>
      </c:catAx>
      <c:valAx>
        <c:axId val="3929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911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25"/>
          <c:y val="0.5905"/>
          <c:w val="0.23925"/>
          <c:h val="0.21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7"/>
          <c:w val="0.9265"/>
          <c:h val="0.84475"/>
        </c:manualLayout>
      </c:layout>
      <c:scatterChart>
        <c:scatterStyle val="smooth"/>
        <c:varyColors val="0"/>
        <c:ser>
          <c:idx val="0"/>
          <c:order val="0"/>
          <c:tx>
            <c:v>МЦС шатуна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расчет!$B$116:$IV$116</c:f>
              <c:numCache>
                <c:ptCount val="25"/>
                <c:pt idx="0">
                  <c:v>-4.599999999999999</c:v>
                </c:pt>
                <c:pt idx="1">
                  <c:v>-3.7719099328473185</c:v>
                </c:pt>
                <c:pt idx="2">
                  <c:v>-3.623161006596302</c:v>
                </c:pt>
                <c:pt idx="3">
                  <c:v>-3.9416483678000414</c:v>
                </c:pt>
                <c:pt idx="4">
                  <c:v>-4.463264650691192</c:v>
                </c:pt>
                <c:pt idx="5">
                  <c:v>-4.601191552234787</c:v>
                </c:pt>
                <c:pt idx="6">
                  <c:v>2.99999999999999</c:v>
                </c:pt>
                <c:pt idx="7">
                  <c:v>-12.301499671851317</c:v>
                </c:pt>
                <c:pt idx="8">
                  <c:v>-11.117871437122174</c:v>
                </c:pt>
                <c:pt idx="9">
                  <c:v>-11.107598528174139</c:v>
                </c:pt>
                <c:pt idx="10">
                  <c:v>-11.111133992146028</c:v>
                </c:pt>
                <c:pt idx="11">
                  <c:v>-10.954906617637413</c:v>
                </c:pt>
                <c:pt idx="12">
                  <c:v>-10.599999999999998</c:v>
                </c:pt>
                <c:pt idx="13">
                  <c:v>-10.036267064047223</c:v>
                </c:pt>
                <c:pt idx="14">
                  <c:v>-9.253804591935921</c:v>
                </c:pt>
                <c:pt idx="15">
                  <c:v>-8.232166225050292</c:v>
                </c:pt>
                <c:pt idx="16">
                  <c:v>-6.93084722714519</c:v>
                </c:pt>
                <c:pt idx="17">
                  <c:v>-5.26315172415776</c:v>
                </c:pt>
                <c:pt idx="18">
                  <c:v>-3.000000000000002</c:v>
                </c:pt>
                <c:pt idx="19">
                  <c:v>0.6916722016563499</c:v>
                </c:pt>
                <c:pt idx="20">
                  <c:v>11.93201033808794</c:v>
                </c:pt>
                <c:pt idx="21">
                  <c:v>-35.90054791481723</c:v>
                </c:pt>
                <c:pt idx="22">
                  <c:v>-10.746759653690948</c:v>
                </c:pt>
                <c:pt idx="23">
                  <c:v>-6.4627061970794095</c:v>
                </c:pt>
                <c:pt idx="24">
                  <c:v>-4.6</c:v>
                </c:pt>
              </c:numCache>
            </c:numRef>
          </c:xVal>
          <c:yVal>
            <c:numRef>
              <c:f>расчет!$B$117:$IV$117</c:f>
              <c:numCache>
                <c:ptCount val="25"/>
                <c:pt idx="0">
                  <c:v>3</c:v>
                </c:pt>
                <c:pt idx="1">
                  <c:v>4.1165087616596185</c:v>
                </c:pt>
                <c:pt idx="2">
                  <c:v>5.555934597613485</c:v>
                </c:pt>
                <c:pt idx="3">
                  <c:v>8.184289054919326</c:v>
                </c:pt>
                <c:pt idx="4">
                  <c:v>13.730601142623298</c:v>
                </c:pt>
                <c:pt idx="5">
                  <c:v>28.762990563765754</c:v>
                </c:pt>
                <c:pt idx="6">
                  <c:v>166.20280489067557</c:v>
                </c:pt>
                <c:pt idx="7">
                  <c:v>-57.500931700109795</c:v>
                </c:pt>
                <c:pt idx="8">
                  <c:v>-25.25671820111443</c:v>
                </c:pt>
                <c:pt idx="9">
                  <c:v>-15.350239215293428</c:v>
                </c:pt>
                <c:pt idx="10">
                  <c:v>-9.879117816505264</c:v>
                </c:pt>
                <c:pt idx="11">
                  <c:v>-6.04118692258456</c:v>
                </c:pt>
                <c:pt idx="12">
                  <c:v>-3.0000000000000013</c:v>
                </c:pt>
                <c:pt idx="13">
                  <c:v>-0.41661888639572037</c:v>
                </c:pt>
                <c:pt idx="14">
                  <c:v>1.8785849570446456</c:v>
                </c:pt>
                <c:pt idx="15">
                  <c:v>3.9895255379310055</c:v>
                </c:pt>
                <c:pt idx="16">
                  <c:v>6.004579536913331</c:v>
                </c:pt>
                <c:pt idx="17">
                  <c:v>8.051239727031682</c:v>
                </c:pt>
                <c:pt idx="18">
                  <c:v>10.428515874111703</c:v>
                </c:pt>
                <c:pt idx="19">
                  <c:v>14.172465714233367</c:v>
                </c:pt>
                <c:pt idx="20">
                  <c:v>26.666848142005403</c:v>
                </c:pt>
                <c:pt idx="21">
                  <c:v>-31.657907227697965</c:v>
                </c:pt>
                <c:pt idx="22">
                  <c:v>-2.74054296383693</c:v>
                </c:pt>
                <c:pt idx="23">
                  <c:v>1.3741516348032101</c:v>
                </c:pt>
                <c:pt idx="24">
                  <c:v>2.9999999999999987</c:v>
                </c:pt>
              </c:numCache>
            </c:numRef>
          </c:yVal>
          <c:smooth val="1"/>
        </c:ser>
        <c:axId val="18134963"/>
        <c:axId val="28996940"/>
      </c:scatterChart>
      <c:valAx>
        <c:axId val="1813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6940"/>
        <c:crosses val="autoZero"/>
        <c:crossBetween val="midCat"/>
        <c:dispUnits/>
      </c:valAx>
      <c:valAx>
        <c:axId val="2899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4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2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875"/>
          <c:w val="0.9265"/>
          <c:h val="0.84275"/>
        </c:manualLayout>
      </c:layout>
      <c:scatterChart>
        <c:scatterStyle val="smooth"/>
        <c:varyColors val="0"/>
        <c:ser>
          <c:idx val="0"/>
          <c:order val="0"/>
          <c:tx>
            <c:v>МЦУ шатуна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расчет!$B$119:$IV$119</c:f>
              <c:numCache>
                <c:ptCount val="25"/>
                <c:pt idx="0">
                  <c:v>-25.035305323558582</c:v>
                </c:pt>
                <c:pt idx="1">
                  <c:v>22.66511091950999</c:v>
                </c:pt>
                <c:pt idx="2">
                  <c:v>10.63044397739007</c:v>
                </c:pt>
                <c:pt idx="3">
                  <c:v>7.463741958501767</c:v>
                </c:pt>
                <c:pt idx="4">
                  <c:v>5.406547073319323</c:v>
                </c:pt>
                <c:pt idx="5">
                  <c:v>3.1023184789024154</c:v>
                </c:pt>
                <c:pt idx="6">
                  <c:v>0.007821082391983286</c:v>
                </c:pt>
                <c:pt idx="7">
                  <c:v>-3.9290852566870886</c:v>
                </c:pt>
                <c:pt idx="8">
                  <c:v>-8.332715367187904</c:v>
                </c:pt>
                <c:pt idx="9">
                  <c:v>-12.625531315475707</c:v>
                </c:pt>
                <c:pt idx="10">
                  <c:v>-16.32081388683591</c:v>
                </c:pt>
                <c:pt idx="11">
                  <c:v>-19.191610026273725</c:v>
                </c:pt>
                <c:pt idx="12">
                  <c:v>-21.298911370315672</c:v>
                </c:pt>
                <c:pt idx="13">
                  <c:v>-23.05487812169524</c:v>
                </c:pt>
                <c:pt idx="14">
                  <c:v>-25.929726013952354</c:v>
                </c:pt>
                <c:pt idx="15">
                  <c:v>-43.67133682712038</c:v>
                </c:pt>
                <c:pt idx="16">
                  <c:v>8.44328957985321</c:v>
                </c:pt>
                <c:pt idx="17">
                  <c:v>-3.497764110617011</c:v>
                </c:pt>
                <c:pt idx="18">
                  <c:v>-3.9805034830351036</c:v>
                </c:pt>
                <c:pt idx="19">
                  <c:v>-2.8352818157034765</c:v>
                </c:pt>
                <c:pt idx="20">
                  <c:v>-1.5469707299043218</c:v>
                </c:pt>
                <c:pt idx="21">
                  <c:v>-0.787971302132309</c:v>
                </c:pt>
                <c:pt idx="22">
                  <c:v>-1.1673608519510037</c:v>
                </c:pt>
                <c:pt idx="23">
                  <c:v>-4.1364834741942325</c:v>
                </c:pt>
                <c:pt idx="24">
                  <c:v>-25.035305323558582</c:v>
                </c:pt>
              </c:numCache>
            </c:numRef>
          </c:xVal>
          <c:yVal>
            <c:numRef>
              <c:f>расчет!$B$120:$IV$120</c:f>
              <c:numCache>
                <c:ptCount val="25"/>
                <c:pt idx="0">
                  <c:v>15.62227062034132</c:v>
                </c:pt>
                <c:pt idx="1">
                  <c:v>-14.17711542589498</c:v>
                </c:pt>
                <c:pt idx="2">
                  <c:v>-8.140633082515505</c:v>
                </c:pt>
                <c:pt idx="3">
                  <c:v>-7.1110354582350555</c:v>
                </c:pt>
                <c:pt idx="4">
                  <c:v>-6.443650250598666</c:v>
                </c:pt>
                <c:pt idx="5">
                  <c:v>-5.22195284527356</c:v>
                </c:pt>
                <c:pt idx="6">
                  <c:v>-3.008001628748781</c:v>
                </c:pt>
                <c:pt idx="7">
                  <c:v>0.2538075007504953</c:v>
                </c:pt>
                <c:pt idx="8">
                  <c:v>4.246403124058344</c:v>
                </c:pt>
                <c:pt idx="9">
                  <c:v>8.4814458799862</c:v>
                </c:pt>
                <c:pt idx="10">
                  <c:v>12.577373843051099</c:v>
                </c:pt>
                <c:pt idx="11">
                  <c:v>16.433500875956035</c:v>
                </c:pt>
                <c:pt idx="12">
                  <c:v>20.3073119413316</c:v>
                </c:pt>
                <c:pt idx="13">
                  <c:v>25.0640818577474</c:v>
                </c:pt>
                <c:pt idx="14">
                  <c:v>33.84797568703769</c:v>
                </c:pt>
                <c:pt idx="15">
                  <c:v>77.27463835474983</c:v>
                </c:pt>
                <c:pt idx="16">
                  <c:v>-35.01459395585732</c:v>
                </c:pt>
                <c:pt idx="17">
                  <c:v>-3.0647448683931877</c:v>
                </c:pt>
                <c:pt idx="18">
                  <c:v>3.1787903367832016</c:v>
                </c:pt>
                <c:pt idx="19">
                  <c:v>5.121893827380141</c:v>
                </c:pt>
                <c:pt idx="20">
                  <c:v>5.430242212319386</c:v>
                </c:pt>
                <c:pt idx="21">
                  <c:v>4.973862940867254</c:v>
                </c:pt>
                <c:pt idx="22">
                  <c:v>4.364306615474336</c:v>
                </c:pt>
                <c:pt idx="23">
                  <c:v>4.747254945012721</c:v>
                </c:pt>
                <c:pt idx="24">
                  <c:v>15.62227062034132</c:v>
                </c:pt>
              </c:numCache>
            </c:numRef>
          </c:yVal>
          <c:smooth val="1"/>
        </c:ser>
        <c:axId val="59645869"/>
        <c:axId val="67050774"/>
      </c:scatterChart>
      <c:valAx>
        <c:axId val="59645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50774"/>
        <c:crosses val="autoZero"/>
        <c:crossBetween val="midCat"/>
        <c:dispUnits/>
      </c:valAx>
      <c:valAx>
        <c:axId val="67050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5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Вектор скорости 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расчет!$B$169:$IV$169</c:f>
              <c:numCache>
                <c:ptCount val="25"/>
                <c:pt idx="0">
                  <c:v>1.0318309592430408</c:v>
                </c:pt>
                <c:pt idx="1">
                  <c:v>0.7597168094781694</c:v>
                </c:pt>
                <c:pt idx="2">
                  <c:v>0.40534768131483045</c:v>
                </c:pt>
                <c:pt idx="3">
                  <c:v>0.08955779490380314</c:v>
                </c:pt>
                <c:pt idx="4">
                  <c:v>-0.1474588546659738</c:v>
                </c:pt>
                <c:pt idx="5">
                  <c:v>-0.31253974380387173</c:v>
                </c:pt>
                <c:pt idx="6">
                  <c:v>-0.42423015827495547</c:v>
                </c:pt>
                <c:pt idx="7">
                  <c:v>-0.4981023377984709</c:v>
                </c:pt>
                <c:pt idx="8">
                  <c:v>-0.5438698917434165</c:v>
                </c:pt>
                <c:pt idx="9">
                  <c:v>-0.5665417959778322</c:v>
                </c:pt>
                <c:pt idx="10">
                  <c:v>-0.5683592026035562</c:v>
                </c:pt>
                <c:pt idx="11">
                  <c:v>-0.5504840453068668</c:v>
                </c:pt>
                <c:pt idx="12">
                  <c:v>-0.5141066675092356</c:v>
                </c:pt>
                <c:pt idx="13">
                  <c:v>-0.4608442687726698</c:v>
                </c:pt>
                <c:pt idx="14">
                  <c:v>-0.3924704067746284</c:v>
                </c:pt>
                <c:pt idx="15">
                  <c:v>-0.31018655798527495</c:v>
                </c:pt>
                <c:pt idx="16">
                  <c:v>-0.21371072261248786</c:v>
                </c:pt>
                <c:pt idx="17">
                  <c:v>-0.10038959826638999</c:v>
                </c:pt>
                <c:pt idx="18">
                  <c:v>0.03551278970231091</c:v>
                </c:pt>
                <c:pt idx="19">
                  <c:v>0.2029000265509489</c:v>
                </c:pt>
                <c:pt idx="20">
                  <c:v>0.4115213149332594</c:v>
                </c:pt>
                <c:pt idx="21">
                  <c:v>0.6620421499440261</c:v>
                </c:pt>
                <c:pt idx="22">
                  <c:v>0.9200598172729737</c:v>
                </c:pt>
                <c:pt idx="23">
                  <c:v>1.0848049060784852</c:v>
                </c:pt>
                <c:pt idx="24">
                  <c:v>1.031830959243041</c:v>
                </c:pt>
              </c:numCache>
            </c:numRef>
          </c:xVal>
          <c:yVal>
            <c:numRef>
              <c:f>расчет!$B$170:$IV$170</c:f>
              <c:numCache>
                <c:ptCount val="25"/>
                <c:pt idx="0">
                  <c:v>1.7871836462314779</c:v>
                </c:pt>
                <c:pt idx="1">
                  <c:v>1.3158681133803127</c:v>
                </c:pt>
                <c:pt idx="2">
                  <c:v>0.7020827787675237</c:v>
                </c:pt>
                <c:pt idx="3">
                  <c:v>0.15511865098721997</c:v>
                </c:pt>
                <c:pt idx="4">
                  <c:v>-0.2554062283073815</c:v>
                </c:pt>
                <c:pt idx="5">
                  <c:v>-0.5413347156528657</c:v>
                </c:pt>
                <c:pt idx="6">
                  <c:v>-0.7347881882352091</c:v>
                </c:pt>
                <c:pt idx="7">
                  <c:v>-0.8627385564357868</c:v>
                </c:pt>
                <c:pt idx="8">
                  <c:v>-0.9420102852065819</c:v>
                </c:pt>
                <c:pt idx="9">
                  <c:v>-0.9812791752449256</c:v>
                </c:pt>
                <c:pt idx="10">
                  <c:v>-0.9844270158586921</c:v>
                </c:pt>
                <c:pt idx="11">
                  <c:v>-0.9534663352275407</c:v>
                </c:pt>
                <c:pt idx="12">
                  <c:v>-0.8904588686359157</c:v>
                </c:pt>
                <c:pt idx="13">
                  <c:v>-0.7982056878911911</c:v>
                </c:pt>
                <c:pt idx="14">
                  <c:v>-0.6797786850008805</c:v>
                </c:pt>
                <c:pt idx="15">
                  <c:v>-0.5372588782554056</c:v>
                </c:pt>
                <c:pt idx="16">
                  <c:v>-0.3701578296870878</c:v>
                </c:pt>
                <c:pt idx="17">
                  <c:v>-0.1738798847488159</c:v>
                </c:pt>
                <c:pt idx="18">
                  <c:v>0.06150995608291132</c:v>
                </c:pt>
                <c:pt idx="19">
                  <c:v>0.35143315484331766</c:v>
                </c:pt>
                <c:pt idx="20">
                  <c:v>0.712775825861958</c:v>
                </c:pt>
                <c:pt idx="21">
                  <c:v>1.1466906404551862</c:v>
                </c:pt>
                <c:pt idx="22">
                  <c:v>1.5935903495193275</c:v>
                </c:pt>
                <c:pt idx="23">
                  <c:v>1.87893721362792</c:v>
                </c:pt>
                <c:pt idx="24">
                  <c:v>1.7871836462314783</c:v>
                </c:pt>
              </c:numCache>
            </c:numRef>
          </c:yVal>
          <c:smooth val="1"/>
        </c:ser>
        <c:axId val="66586055"/>
        <c:axId val="62403584"/>
      </c:scatterChart>
      <c:valAx>
        <c:axId val="665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03584"/>
        <c:crosses val="autoZero"/>
        <c:crossBetween val="midCat"/>
        <c:dispUnits/>
      </c:valAx>
      <c:valAx>
        <c:axId val="62403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86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Вектор ускорения 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расчет!$B$171:$IV$171</c:f>
              <c:numCache>
                <c:ptCount val="25"/>
                <c:pt idx="0">
                  <c:v>-0.6802853645796936</c:v>
                </c:pt>
                <c:pt idx="1">
                  <c:v>-1.2973860662146965</c:v>
                </c:pt>
                <c:pt idx="2">
                  <c:v>-1.32956902646237</c:v>
                </c:pt>
                <c:pt idx="3">
                  <c:v>-1.0604957304400662</c:v>
                </c:pt>
                <c:pt idx="4">
                  <c:v>-0.7568453482146065</c:v>
                </c:pt>
                <c:pt idx="5">
                  <c:v>-0.5169032430580287</c:v>
                </c:pt>
                <c:pt idx="6">
                  <c:v>-0.34637645491690233</c:v>
                </c:pt>
                <c:pt idx="7">
                  <c:v>-0.22405065273809452</c:v>
                </c:pt>
                <c:pt idx="8">
                  <c:v>-0.1286460373643029</c:v>
                </c:pt>
                <c:pt idx="9">
                  <c:v>-0.04587135369315666</c:v>
                </c:pt>
                <c:pt idx="10">
                  <c:v>0.0313194230297727</c:v>
                </c:pt>
                <c:pt idx="11">
                  <c:v>0.10450396672736367</c:v>
                </c:pt>
                <c:pt idx="12">
                  <c:v>0.1723498533990611</c:v>
                </c:pt>
                <c:pt idx="13">
                  <c:v>0.23336668897460855</c:v>
                </c:pt>
                <c:pt idx="14">
                  <c:v>0.28814633771940545</c:v>
                </c:pt>
                <c:pt idx="15">
                  <c:v>0.34057802939970794</c:v>
                </c:pt>
                <c:pt idx="16">
                  <c:v>0.39808420113249254</c:v>
                </c:pt>
                <c:pt idx="17">
                  <c:v>0.47125880388679886</c:v>
                </c:pt>
                <c:pt idx="18">
                  <c:v>0.572731845052914</c:v>
                </c:pt>
                <c:pt idx="19">
                  <c:v>0.7127542438978508</c:v>
                </c:pt>
                <c:pt idx="20">
                  <c:v>0.8830514482891489</c:v>
                </c:pt>
                <c:pt idx="21">
                  <c:v>1.0116410221732657</c:v>
                </c:pt>
                <c:pt idx="22">
                  <c:v>0.8937512915065586</c:v>
                </c:pt>
                <c:pt idx="23">
                  <c:v>0.2728920165890684</c:v>
                </c:pt>
                <c:pt idx="24">
                  <c:v>-0.6802853645796937</c:v>
                </c:pt>
              </c:numCache>
            </c:numRef>
          </c:xVal>
          <c:yVal>
            <c:numRef>
              <c:f>расчет!$B$172:$IV$172</c:f>
              <c:numCache>
                <c:ptCount val="25"/>
                <c:pt idx="0">
                  <c:v>-1.1782888150975466</c:v>
                </c:pt>
                <c:pt idx="1">
                  <c:v>-2.2471385837157727</c:v>
                </c:pt>
                <c:pt idx="2">
                  <c:v>-2.3028811060027126</c:v>
                </c:pt>
                <c:pt idx="3">
                  <c:v>-1.8368324863320618</c:v>
                </c:pt>
                <c:pt idx="4">
                  <c:v>-1.3108945965798569</c:v>
                </c:pt>
                <c:pt idx="5">
                  <c:v>-0.89530267957363</c:v>
                </c:pt>
                <c:pt idx="6">
                  <c:v>-0.5999416184616655</c:v>
                </c:pt>
                <c:pt idx="7">
                  <c:v>-0.3880671140113504</c:v>
                </c:pt>
                <c:pt idx="8">
                  <c:v>-0.22282147290737692</c:v>
                </c:pt>
                <c:pt idx="9">
                  <c:v>-0.07945151520850961</c:v>
                </c:pt>
                <c:pt idx="10">
                  <c:v>0.05424683195130915</c:v>
                </c:pt>
                <c:pt idx="11">
                  <c:v>0.181006179964281</c:v>
                </c:pt>
                <c:pt idx="12">
                  <c:v>0.2985187027642212</c:v>
                </c:pt>
                <c:pt idx="13">
                  <c:v>0.4042029620981456</c:v>
                </c:pt>
                <c:pt idx="14">
                  <c:v>0.49908409694491046</c:v>
                </c:pt>
                <c:pt idx="15">
                  <c:v>0.5898984508619808</c:v>
                </c:pt>
                <c:pt idx="16">
                  <c:v>0.6895020620519449</c:v>
                </c:pt>
                <c:pt idx="17">
                  <c:v>0.8162441918460729</c:v>
                </c:pt>
                <c:pt idx="18">
                  <c:v>0.9920006547443128</c:v>
                </c:pt>
                <c:pt idx="19">
                  <c:v>1.234526563741417</c:v>
                </c:pt>
                <c:pt idx="20">
                  <c:v>1.5294899741340862</c:v>
                </c:pt>
                <c:pt idx="21">
                  <c:v>1.7522136494250093</c:v>
                </c:pt>
                <c:pt idx="22">
                  <c:v>1.5480226462196611</c:v>
                </c:pt>
                <c:pt idx="23">
                  <c:v>0.47266283771219664</c:v>
                </c:pt>
                <c:pt idx="24">
                  <c:v>-1.1782888150975466</c:v>
                </c:pt>
              </c:numCache>
            </c:numRef>
          </c:yVal>
          <c:smooth val="1"/>
        </c:ser>
        <c:axId val="24761345"/>
        <c:axId val="21525514"/>
      </c:scatterChart>
      <c:valAx>
        <c:axId val="2476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25514"/>
        <c:crosses val="autoZero"/>
        <c:crossBetween val="midCat"/>
        <c:dispUnits/>
      </c:valAx>
      <c:valAx>
        <c:axId val="21525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13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Перемещение 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расчет!$B$24:$Z$24</c:f>
              <c:numCache>
                <c:ptCount val="25"/>
                <c:pt idx="0">
                  <c:v>3</c:v>
                </c:pt>
                <c:pt idx="1">
                  <c:v>2.897777478867205</c:v>
                </c:pt>
                <c:pt idx="2">
                  <c:v>2.598076211353316</c:v>
                </c:pt>
                <c:pt idx="3">
                  <c:v>2.121320343559643</c:v>
                </c:pt>
                <c:pt idx="4">
                  <c:v>1.5000000000000004</c:v>
                </c:pt>
                <c:pt idx="5">
                  <c:v>0.7764571353075622</c:v>
                </c:pt>
                <c:pt idx="6">
                  <c:v>1.83772268236293E-16</c:v>
                </c:pt>
                <c:pt idx="7">
                  <c:v>-0.7764571353075626</c:v>
                </c:pt>
                <c:pt idx="8">
                  <c:v>-1.4999999999999993</c:v>
                </c:pt>
                <c:pt idx="9">
                  <c:v>-2.1213203435596424</c:v>
                </c:pt>
                <c:pt idx="10">
                  <c:v>-2.598076211353316</c:v>
                </c:pt>
                <c:pt idx="11">
                  <c:v>-2.8977774788672046</c:v>
                </c:pt>
                <c:pt idx="12">
                  <c:v>-3</c:v>
                </c:pt>
                <c:pt idx="13">
                  <c:v>-2.897777478867205</c:v>
                </c:pt>
                <c:pt idx="14">
                  <c:v>-2.598076211353316</c:v>
                </c:pt>
                <c:pt idx="15">
                  <c:v>-2.121320343559643</c:v>
                </c:pt>
                <c:pt idx="16">
                  <c:v>-1.5000000000000013</c:v>
                </c:pt>
                <c:pt idx="17">
                  <c:v>-0.7764571353075619</c:v>
                </c:pt>
                <c:pt idx="18">
                  <c:v>-5.51316804708879E-16</c:v>
                </c:pt>
                <c:pt idx="19">
                  <c:v>0.7764571353075609</c:v>
                </c:pt>
                <c:pt idx="20">
                  <c:v>1.5000000000000004</c:v>
                </c:pt>
                <c:pt idx="21">
                  <c:v>2.121320343559642</c:v>
                </c:pt>
                <c:pt idx="22">
                  <c:v>2.598076211353315</c:v>
                </c:pt>
                <c:pt idx="23">
                  <c:v>2.897777478867205</c:v>
                </c:pt>
                <c:pt idx="24">
                  <c:v>3</c:v>
                </c:pt>
              </c:numCache>
            </c:numRef>
          </c:val>
          <c:smooth val="1"/>
        </c:ser>
        <c:ser>
          <c:idx val="1"/>
          <c:order val="1"/>
          <c:tx>
            <c:v>Скорость Х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расчет!$B$26:$Z$26</c:f>
              <c:numCache>
                <c:ptCount val="25"/>
                <c:pt idx="0">
                  <c:v>0</c:v>
                </c:pt>
                <c:pt idx="1">
                  <c:v>-0.7764571353075622</c:v>
                </c:pt>
                <c:pt idx="2">
                  <c:v>-1.4999999999999998</c:v>
                </c:pt>
                <c:pt idx="3">
                  <c:v>-2.1213203435596424</c:v>
                </c:pt>
                <c:pt idx="4">
                  <c:v>-2.598076211353316</c:v>
                </c:pt>
                <c:pt idx="5">
                  <c:v>-2.897777478867205</c:v>
                </c:pt>
                <c:pt idx="6">
                  <c:v>-3</c:v>
                </c:pt>
                <c:pt idx="7">
                  <c:v>-2.897777478867205</c:v>
                </c:pt>
                <c:pt idx="8">
                  <c:v>-2.598076211353316</c:v>
                </c:pt>
                <c:pt idx="9">
                  <c:v>-2.121320343559643</c:v>
                </c:pt>
                <c:pt idx="10">
                  <c:v>-1.4999999999999998</c:v>
                </c:pt>
                <c:pt idx="11">
                  <c:v>-0.7764571353075631</c:v>
                </c:pt>
                <c:pt idx="12">
                  <c:v>-3.67544536472586E-16</c:v>
                </c:pt>
                <c:pt idx="13">
                  <c:v>0.7764571353075624</c:v>
                </c:pt>
                <c:pt idx="14">
                  <c:v>1.5000000000000004</c:v>
                </c:pt>
                <c:pt idx="15">
                  <c:v>2.1213203435596424</c:v>
                </c:pt>
                <c:pt idx="16">
                  <c:v>2.598076211353315</c:v>
                </c:pt>
                <c:pt idx="17">
                  <c:v>2.897777478867205</c:v>
                </c:pt>
                <c:pt idx="18">
                  <c:v>3</c:v>
                </c:pt>
                <c:pt idx="19">
                  <c:v>2.897777478867205</c:v>
                </c:pt>
                <c:pt idx="20">
                  <c:v>2.598076211353316</c:v>
                </c:pt>
                <c:pt idx="21">
                  <c:v>2.121320343559643</c:v>
                </c:pt>
                <c:pt idx="22">
                  <c:v>1.5000000000000013</c:v>
                </c:pt>
                <c:pt idx="23">
                  <c:v>0.776457135307562</c:v>
                </c:pt>
                <c:pt idx="24">
                  <c:v>7.35089072945172E-16</c:v>
                </c:pt>
              </c:numCache>
            </c:numRef>
          </c:val>
          <c:smooth val="1"/>
        </c:ser>
        <c:ser>
          <c:idx val="2"/>
          <c:order val="2"/>
          <c:tx>
            <c:v>Ускорение Х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расчет!$B$28:$Z$28</c:f>
              <c:numCache>
                <c:ptCount val="25"/>
                <c:pt idx="0">
                  <c:v>-3</c:v>
                </c:pt>
                <c:pt idx="1">
                  <c:v>-2.897777478867205</c:v>
                </c:pt>
                <c:pt idx="2">
                  <c:v>-2.598076211353316</c:v>
                </c:pt>
                <c:pt idx="3">
                  <c:v>-2.121320343559643</c:v>
                </c:pt>
                <c:pt idx="4">
                  <c:v>-1.5000000000000004</c:v>
                </c:pt>
                <c:pt idx="5">
                  <c:v>-0.7764571353075622</c:v>
                </c:pt>
                <c:pt idx="6">
                  <c:v>-1.83772268236293E-16</c:v>
                </c:pt>
                <c:pt idx="7">
                  <c:v>0.7764571353075626</c:v>
                </c:pt>
                <c:pt idx="8">
                  <c:v>1.4999999999999993</c:v>
                </c:pt>
                <c:pt idx="9">
                  <c:v>2.1213203435596424</c:v>
                </c:pt>
                <c:pt idx="10">
                  <c:v>2.598076211353316</c:v>
                </c:pt>
                <c:pt idx="11">
                  <c:v>2.8977774788672046</c:v>
                </c:pt>
                <c:pt idx="12">
                  <c:v>3</c:v>
                </c:pt>
                <c:pt idx="13">
                  <c:v>2.897777478867205</c:v>
                </c:pt>
                <c:pt idx="14">
                  <c:v>2.598076211353316</c:v>
                </c:pt>
                <c:pt idx="15">
                  <c:v>2.121320343559643</c:v>
                </c:pt>
                <c:pt idx="16">
                  <c:v>1.5000000000000013</c:v>
                </c:pt>
                <c:pt idx="17">
                  <c:v>0.7764571353075619</c:v>
                </c:pt>
                <c:pt idx="18">
                  <c:v>5.51316804708879E-16</c:v>
                </c:pt>
                <c:pt idx="19">
                  <c:v>-0.7764571353075609</c:v>
                </c:pt>
                <c:pt idx="20">
                  <c:v>-1.5000000000000004</c:v>
                </c:pt>
                <c:pt idx="21">
                  <c:v>-2.121320343559642</c:v>
                </c:pt>
                <c:pt idx="22">
                  <c:v>-2.598076211353315</c:v>
                </c:pt>
                <c:pt idx="23">
                  <c:v>-2.897777478867205</c:v>
                </c:pt>
                <c:pt idx="24">
                  <c:v>-3</c:v>
                </c:pt>
              </c:numCache>
            </c:numRef>
          </c:val>
          <c:smooth val="1"/>
        </c:ser>
        <c:axId val="23225127"/>
        <c:axId val="7699552"/>
      </c:lineChart>
      <c:catAx>
        <c:axId val="2322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99552"/>
        <c:crosses val="autoZero"/>
        <c:auto val="0"/>
        <c:lblOffset val="100"/>
        <c:noMultiLvlLbl val="0"/>
      </c:catAx>
      <c:valAx>
        <c:axId val="7699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251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725"/>
          <c:w val="0.932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v>МЦС шатуна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расчет!$B$123:$IV$123</c:f>
              <c:numCache>
                <c:ptCount val="25"/>
                <c:pt idx="0">
                  <c:v>0.3657025115333486</c:v>
                </c:pt>
                <c:pt idx="1">
                  <c:v>2.1359199752931204</c:v>
                </c:pt>
                <c:pt idx="2">
                  <c:v>3.0269404506156343</c:v>
                </c:pt>
                <c:pt idx="3">
                  <c:v>3.3499202193898028</c:v>
                </c:pt>
                <c:pt idx="4">
                  <c:v>3.30389431956941</c:v>
                </c:pt>
                <c:pt idx="5">
                  <c:v>2.9859164249995613</c:v>
                </c:pt>
                <c:pt idx="6">
                  <c:v>2.4312886752878518</c:v>
                </c:pt>
                <c:pt idx="7">
                  <c:v>1.6420102608077056</c:v>
                </c:pt>
                <c:pt idx="8">
                  <c:v>0.5969022750933248</c:v>
                </c:pt>
                <c:pt idx="9">
                  <c:v>-0.7506478970511219</c:v>
                </c:pt>
                <c:pt idx="10">
                  <c:v>-2.4837069219766463</c:v>
                </c:pt>
                <c:pt idx="11">
                  <c:v>-4.742130543518528</c:v>
                </c:pt>
                <c:pt idx="12">
                  <c:v>-7.756133202125489</c:v>
                </c:pt>
                <c:pt idx="13">
                  <c:v>-11.897668751950134</c:v>
                </c:pt>
                <c:pt idx="14">
                  <c:v>-17.739092414191713</c:v>
                </c:pt>
                <c:pt idx="15">
                  <c:v>-26.01556546500872</c:v>
                </c:pt>
                <c:pt idx="16">
                  <c:v>-37.00739356130301</c:v>
                </c:pt>
                <c:pt idx="17">
                  <c:v>-48.14279843506702</c:v>
                </c:pt>
                <c:pt idx="18">
                  <c:v>-51.38441704538924</c:v>
                </c:pt>
                <c:pt idx="19">
                  <c:v>-41.78965840583141</c:v>
                </c:pt>
                <c:pt idx="20">
                  <c:v>-27.210473771899647</c:v>
                </c:pt>
                <c:pt idx="21">
                  <c:v>-15.417160830775671</c:v>
                </c:pt>
                <c:pt idx="22">
                  <c:v>-7.611526171451966</c:v>
                </c:pt>
                <c:pt idx="23">
                  <c:v>-2.6849591298815834</c:v>
                </c:pt>
                <c:pt idx="24">
                  <c:v>0.3657025115333498</c:v>
                </c:pt>
              </c:numCache>
            </c:numRef>
          </c:xVal>
          <c:yVal>
            <c:numRef>
              <c:f>расчет!$B$124:$IV$124</c:f>
              <c:numCache>
                <c:ptCount val="25"/>
                <c:pt idx="0">
                  <c:v>-1.6645455825213804</c:v>
                </c:pt>
                <c:pt idx="1">
                  <c:v>-0.16075445628784235</c:v>
                </c:pt>
                <c:pt idx="2">
                  <c:v>0.7486113765924213</c:v>
                </c:pt>
                <c:pt idx="3">
                  <c:v>1.12026144451583</c:v>
                </c:pt>
                <c:pt idx="4">
                  <c:v>1.0655628319035955</c:v>
                </c:pt>
                <c:pt idx="5">
                  <c:v>0.7032972332466841</c:v>
                </c:pt>
                <c:pt idx="6">
                  <c:v>0.125119263279452</c:v>
                </c:pt>
                <c:pt idx="7">
                  <c:v>-0.6119453461402421</c:v>
                </c:pt>
                <c:pt idx="8">
                  <c:v>-1.4834590607715856</c:v>
                </c:pt>
                <c:pt idx="9">
                  <c:v>-2.4958205858228615</c:v>
                </c:pt>
                <c:pt idx="10">
                  <c:v>-3.688265262090648</c:v>
                </c:pt>
                <c:pt idx="11">
                  <c:v>-5.140647841293863</c:v>
                </c:pt>
                <c:pt idx="12">
                  <c:v>-6.989683759097149</c:v>
                </c:pt>
                <c:pt idx="13">
                  <c:v>-9.456315139011258</c:v>
                </c:pt>
                <c:pt idx="14">
                  <c:v>-12.878011245005666</c:v>
                </c:pt>
                <c:pt idx="15">
                  <c:v>-17.686056767179135</c:v>
                </c:pt>
                <c:pt idx="16">
                  <c:v>-24.048308740896356</c:v>
                </c:pt>
                <c:pt idx="17">
                  <c:v>-30.48467490742312</c:v>
                </c:pt>
                <c:pt idx="18">
                  <c:v>-32.357594018758945</c:v>
                </c:pt>
                <c:pt idx="19">
                  <c:v>-26.813137967445446</c:v>
                </c:pt>
                <c:pt idx="20">
                  <c:v>-18.378497204700462</c:v>
                </c:pt>
                <c:pt idx="21">
                  <c:v>-11.52250855387209</c:v>
                </c:pt>
                <c:pt idx="22">
                  <c:v>-6.902379431436863</c:v>
                </c:pt>
                <c:pt idx="23">
                  <c:v>-3.8213878819854594</c:v>
                </c:pt>
                <c:pt idx="24">
                  <c:v>-1.6645455825213795</c:v>
                </c:pt>
              </c:numCache>
            </c:numRef>
          </c:yVal>
          <c:smooth val="1"/>
        </c:ser>
        <c:axId val="59511899"/>
        <c:axId val="65845044"/>
      </c:scatterChart>
      <c:valAx>
        <c:axId val="59511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044"/>
        <c:crosses val="autoZero"/>
        <c:crossBetween val="midCat"/>
        <c:dispUnits/>
      </c:valAx>
      <c:valAx>
        <c:axId val="65845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1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725"/>
          <c:w val="0.9342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v>МЦУ шатуна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расчет!$B$126:$IV$126</c:f>
              <c:numCache>
                <c:ptCount val="25"/>
                <c:pt idx="0">
                  <c:v>7.10790964877798</c:v>
                </c:pt>
                <c:pt idx="1">
                  <c:v>14.755125320630007</c:v>
                </c:pt>
                <c:pt idx="2">
                  <c:v>13.470035559356328</c:v>
                </c:pt>
                <c:pt idx="3">
                  <c:v>13.264892287089268</c:v>
                </c:pt>
                <c:pt idx="4">
                  <c:v>13.296102662809131</c:v>
                </c:pt>
                <c:pt idx="5">
                  <c:v>13.597838617443523</c:v>
                </c:pt>
                <c:pt idx="6">
                  <c:v>14.946299131646974</c:v>
                </c:pt>
                <c:pt idx="7">
                  <c:v>-18.147583407537823</c:v>
                </c:pt>
                <c:pt idx="8">
                  <c:v>9.184913613688229</c:v>
                </c:pt>
                <c:pt idx="9">
                  <c:v>10.23408743991242</c:v>
                </c:pt>
                <c:pt idx="10">
                  <c:v>10.632802213291804</c:v>
                </c:pt>
                <c:pt idx="11">
                  <c:v>11.005850147684848</c:v>
                </c:pt>
                <c:pt idx="12">
                  <c:v>11.567575439328314</c:v>
                </c:pt>
                <c:pt idx="13">
                  <c:v>12.523067675870928</c:v>
                </c:pt>
                <c:pt idx="14">
                  <c:v>14.227149401322807</c:v>
                </c:pt>
                <c:pt idx="15">
                  <c:v>17.459576489314486</c:v>
                </c:pt>
                <c:pt idx="16">
                  <c:v>23.966641241445572</c:v>
                </c:pt>
                <c:pt idx="17">
                  <c:v>35.46231057976686</c:v>
                </c:pt>
                <c:pt idx="18">
                  <c:v>40.48054377975606</c:v>
                </c:pt>
                <c:pt idx="19">
                  <c:v>28.93306104374181</c:v>
                </c:pt>
                <c:pt idx="20">
                  <c:v>19.359354119033476</c:v>
                </c:pt>
                <c:pt idx="21">
                  <c:v>14.613782266845632</c:v>
                </c:pt>
                <c:pt idx="22">
                  <c:v>12.283368007082753</c:v>
                </c:pt>
                <c:pt idx="23">
                  <c:v>10.938820125021111</c:v>
                </c:pt>
                <c:pt idx="24">
                  <c:v>7.107909648777985</c:v>
                </c:pt>
              </c:numCache>
            </c:numRef>
          </c:xVal>
          <c:yVal>
            <c:numRef>
              <c:f>расчет!$B$127:$IV$127</c:f>
              <c:numCache>
                <c:ptCount val="25"/>
                <c:pt idx="0">
                  <c:v>-3.492494668672038</c:v>
                </c:pt>
                <c:pt idx="1">
                  <c:v>-12.42555195865772</c:v>
                </c:pt>
                <c:pt idx="2">
                  <c:v>-10.471202402132917</c:v>
                </c:pt>
                <c:pt idx="3">
                  <c:v>-10.058539948626219</c:v>
                </c:pt>
                <c:pt idx="4">
                  <c:v>-10.120833049122199</c:v>
                </c:pt>
                <c:pt idx="5">
                  <c:v>-10.65440233395294</c:v>
                </c:pt>
                <c:pt idx="6">
                  <c:v>-12.604628636213928</c:v>
                </c:pt>
                <c:pt idx="7">
                  <c:v>29.090019719261672</c:v>
                </c:pt>
                <c:pt idx="8">
                  <c:v>-5.8891975208910186</c:v>
                </c:pt>
                <c:pt idx="9">
                  <c:v>-7.492369692994963</c:v>
                </c:pt>
                <c:pt idx="10">
                  <c:v>-8.20182573642462</c:v>
                </c:pt>
                <c:pt idx="11">
                  <c:v>-8.779161159633365</c:v>
                </c:pt>
                <c:pt idx="12">
                  <c:v>-9.468387096355004</c:v>
                </c:pt>
                <c:pt idx="13">
                  <c:v>-10.491688808194933</c:v>
                </c:pt>
                <c:pt idx="14">
                  <c:v>-12.22012105661736</c:v>
                </c:pt>
                <c:pt idx="15">
                  <c:v>-15.449684040663334</c:v>
                </c:pt>
                <c:pt idx="16">
                  <c:v>-21.94205390944536</c:v>
                </c:pt>
                <c:pt idx="17">
                  <c:v>-33.42455155471323</c:v>
                </c:pt>
                <c:pt idx="18">
                  <c:v>-38.43968404689621</c:v>
                </c:pt>
                <c:pt idx="19">
                  <c:v>-26.903028474018264</c:v>
                </c:pt>
                <c:pt idx="20">
                  <c:v>-17.351021087138818</c:v>
                </c:pt>
                <c:pt idx="21">
                  <c:v>-12.61117622959538</c:v>
                </c:pt>
                <c:pt idx="22">
                  <c:v>-10.201755274235499</c:v>
                </c:pt>
                <c:pt idx="23">
                  <c:v>-8.555981818534171</c:v>
                </c:pt>
                <c:pt idx="24">
                  <c:v>-3.4924946686720415</c:v>
                </c:pt>
              </c:numCache>
            </c:numRef>
          </c:yVal>
          <c:smooth val="1"/>
        </c:ser>
        <c:axId val="55734485"/>
        <c:axId val="31848318"/>
      </c:scatterChart>
      <c:valAx>
        <c:axId val="5573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48318"/>
        <c:crosses val="autoZero"/>
        <c:crossBetween val="midCat"/>
        <c:dispUnits/>
      </c:valAx>
      <c:valAx>
        <c:axId val="31848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4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5"/>
          <c:y val="0.2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Траектории точек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расчет!$B$24:$IV$24</c:f>
              <c:numCache>
                <c:ptCount val="25"/>
                <c:pt idx="0">
                  <c:v>3</c:v>
                </c:pt>
                <c:pt idx="1">
                  <c:v>2.897777478867205</c:v>
                </c:pt>
                <c:pt idx="2">
                  <c:v>2.598076211353316</c:v>
                </c:pt>
                <c:pt idx="3">
                  <c:v>2.121320343559643</c:v>
                </c:pt>
                <c:pt idx="4">
                  <c:v>1.5000000000000004</c:v>
                </c:pt>
                <c:pt idx="5">
                  <c:v>0.7764571353075622</c:v>
                </c:pt>
                <c:pt idx="6">
                  <c:v>1.83772268236293E-16</c:v>
                </c:pt>
                <c:pt idx="7">
                  <c:v>-0.7764571353075626</c:v>
                </c:pt>
                <c:pt idx="8">
                  <c:v>-1.4999999999999993</c:v>
                </c:pt>
                <c:pt idx="9">
                  <c:v>-2.1213203435596424</c:v>
                </c:pt>
                <c:pt idx="10">
                  <c:v>-2.598076211353316</c:v>
                </c:pt>
                <c:pt idx="11">
                  <c:v>-2.8977774788672046</c:v>
                </c:pt>
                <c:pt idx="12">
                  <c:v>-3</c:v>
                </c:pt>
                <c:pt idx="13">
                  <c:v>-2.897777478867205</c:v>
                </c:pt>
                <c:pt idx="14">
                  <c:v>-2.598076211353316</c:v>
                </c:pt>
                <c:pt idx="15">
                  <c:v>-2.121320343559643</c:v>
                </c:pt>
                <c:pt idx="16">
                  <c:v>-1.5000000000000013</c:v>
                </c:pt>
                <c:pt idx="17">
                  <c:v>-0.7764571353075619</c:v>
                </c:pt>
                <c:pt idx="18">
                  <c:v>-5.51316804708879E-16</c:v>
                </c:pt>
                <c:pt idx="19">
                  <c:v>0.7764571353075609</c:v>
                </c:pt>
                <c:pt idx="20">
                  <c:v>1.5000000000000004</c:v>
                </c:pt>
                <c:pt idx="21">
                  <c:v>2.121320343559642</c:v>
                </c:pt>
                <c:pt idx="22">
                  <c:v>2.598076211353315</c:v>
                </c:pt>
                <c:pt idx="23">
                  <c:v>2.897777478867205</c:v>
                </c:pt>
                <c:pt idx="24">
                  <c:v>3</c:v>
                </c:pt>
              </c:numCache>
            </c:numRef>
          </c:xVal>
          <c:yVal>
            <c:numRef>
              <c:f>расчет!$B$25:$Z$25</c:f>
              <c:numCache>
                <c:ptCount val="25"/>
                <c:pt idx="0">
                  <c:v>0</c:v>
                </c:pt>
                <c:pt idx="1">
                  <c:v>0.7764571353075622</c:v>
                </c:pt>
                <c:pt idx="2">
                  <c:v>1.4999999999999998</c:v>
                </c:pt>
                <c:pt idx="3">
                  <c:v>2.1213203435596424</c:v>
                </c:pt>
                <c:pt idx="4">
                  <c:v>2.598076211353316</c:v>
                </c:pt>
                <c:pt idx="5">
                  <c:v>2.897777478867205</c:v>
                </c:pt>
                <c:pt idx="6">
                  <c:v>3</c:v>
                </c:pt>
                <c:pt idx="7">
                  <c:v>2.897777478867205</c:v>
                </c:pt>
                <c:pt idx="8">
                  <c:v>2.598076211353316</c:v>
                </c:pt>
                <c:pt idx="9">
                  <c:v>2.121320343559643</c:v>
                </c:pt>
                <c:pt idx="10">
                  <c:v>1.4999999999999998</c:v>
                </c:pt>
                <c:pt idx="11">
                  <c:v>0.7764571353075631</c:v>
                </c:pt>
                <c:pt idx="12">
                  <c:v>3.67544536472586E-16</c:v>
                </c:pt>
                <c:pt idx="13">
                  <c:v>-0.7764571353075624</c:v>
                </c:pt>
                <c:pt idx="14">
                  <c:v>-1.5000000000000004</c:v>
                </c:pt>
                <c:pt idx="15">
                  <c:v>-2.1213203435596424</c:v>
                </c:pt>
                <c:pt idx="16">
                  <c:v>-2.598076211353315</c:v>
                </c:pt>
                <c:pt idx="17">
                  <c:v>-2.897777478867205</c:v>
                </c:pt>
                <c:pt idx="18">
                  <c:v>-3</c:v>
                </c:pt>
                <c:pt idx="19">
                  <c:v>-2.897777478867205</c:v>
                </c:pt>
                <c:pt idx="20">
                  <c:v>-2.598076211353316</c:v>
                </c:pt>
                <c:pt idx="21">
                  <c:v>-2.121320343559643</c:v>
                </c:pt>
                <c:pt idx="22">
                  <c:v>-1.5000000000000013</c:v>
                </c:pt>
                <c:pt idx="23">
                  <c:v>-0.776457135307562</c:v>
                </c:pt>
                <c:pt idx="24">
                  <c:v>-7.35089072945172E-16</c:v>
                </c:pt>
              </c:numCache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расчет!$B$55:$IV$55</c:f>
              <c:numCache>
                <c:ptCount val="25"/>
                <c:pt idx="0">
                  <c:v>5.299999999999998</c:v>
                </c:pt>
                <c:pt idx="1">
                  <c:v>6.831150127999447</c:v>
                </c:pt>
                <c:pt idx="2">
                  <c:v>7.871862397726833</c:v>
                </c:pt>
                <c:pt idx="3">
                  <c:v>8.312103067491254</c:v>
                </c:pt>
                <c:pt idx="4">
                  <c:v>8.24694036493347</c:v>
                </c:pt>
                <c:pt idx="5">
                  <c:v>7.818643280010177</c:v>
                </c:pt>
                <c:pt idx="6">
                  <c:v>7.151287278495801</c:v>
                </c:pt>
                <c:pt idx="7">
                  <c:v>6.3425085834270725</c:v>
                </c:pt>
                <c:pt idx="8">
                  <c:v>5.468542289605474</c:v>
                </c:pt>
                <c:pt idx="9">
                  <c:v>4.588736410936486</c:v>
                </c:pt>
                <c:pt idx="10">
                  <c:v>3.748011188924529</c:v>
                </c:pt>
                <c:pt idx="11">
                  <c:v>2.978302379340211</c:v>
                </c:pt>
                <c:pt idx="12">
                  <c:v>2.300000000000001</c:v>
                </c:pt>
                <c:pt idx="13">
                  <c:v>1.723920141792585</c:v>
                </c:pt>
                <c:pt idx="14">
                  <c:v>1.2539125997221543</c:v>
                </c:pt>
                <c:pt idx="15">
                  <c:v>0.8899432455038703</c:v>
                </c:pt>
                <c:pt idx="16">
                  <c:v>0.6314577103945254</c:v>
                </c:pt>
                <c:pt idx="17">
                  <c:v>0.4810342812653652</c:v>
                </c:pt>
                <c:pt idx="18">
                  <c:v>0.4487127215041977</c:v>
                </c:pt>
                <c:pt idx="19">
                  <c:v>0.5578138552973848</c:v>
                </c:pt>
                <c:pt idx="20">
                  <c:v>0.853059635066526</c:v>
                </c:pt>
                <c:pt idx="21">
                  <c:v>1.4092172760683894</c:v>
                </c:pt>
                <c:pt idx="22">
                  <c:v>2.326213813626482</c:v>
                </c:pt>
                <c:pt idx="23">
                  <c:v>3.6666273508677554</c:v>
                </c:pt>
                <c:pt idx="24">
                  <c:v>5.299999999999998</c:v>
                </c:pt>
              </c:numCache>
            </c:numRef>
          </c:xVal>
          <c:yVal>
            <c:numRef>
              <c:f>расчет!$B$56:$Z$56</c:f>
              <c:numCache>
                <c:ptCount val="25"/>
                <c:pt idx="0">
                  <c:v>9.731906288081488</c:v>
                </c:pt>
                <c:pt idx="1">
                  <c:v>9.97039968478319</c:v>
                </c:pt>
                <c:pt idx="2">
                  <c:v>9.996303858762108</c:v>
                </c:pt>
                <c:pt idx="3">
                  <c:v>9.974613236675872</c:v>
                </c:pt>
                <c:pt idx="4">
                  <c:v>9.979051466157479</c:v>
                </c:pt>
                <c:pt idx="5">
                  <c:v>9.997609470073654</c:v>
                </c:pt>
                <c:pt idx="6">
                  <c:v>9.989927772189361</c:v>
                </c:pt>
                <c:pt idx="7">
                  <c:v>9.920620713304455</c:v>
                </c:pt>
                <c:pt idx="8">
                  <c:v>9.770204093507962</c:v>
                </c:pt>
                <c:pt idx="9">
                  <c:v>9.53584246918857</c:v>
                </c:pt>
                <c:pt idx="10">
                  <c:v>9.228335830438192</c:v>
                </c:pt>
                <c:pt idx="11">
                  <c:v>8.867914698686928</c:v>
                </c:pt>
                <c:pt idx="12">
                  <c:v>8.479976415061541</c:v>
                </c:pt>
                <c:pt idx="13">
                  <c:v>8.091457563379363</c:v>
                </c:pt>
                <c:pt idx="14">
                  <c:v>7.728335830438194</c:v>
                </c:pt>
                <c:pt idx="15">
                  <c:v>7.414522125628927</c:v>
                </c:pt>
                <c:pt idx="16">
                  <c:v>7.172127882154646</c:v>
                </c:pt>
                <c:pt idx="17">
                  <c:v>7.022843234437252</c:v>
                </c:pt>
                <c:pt idx="18">
                  <c:v>6.989927772189361</c:v>
                </c:pt>
                <c:pt idx="19">
                  <c:v>7.099831991206448</c:v>
                </c:pt>
                <c:pt idx="20">
                  <c:v>7.380975254804164</c:v>
                </c:pt>
                <c:pt idx="21">
                  <c:v>7.85329289311623</c:v>
                </c:pt>
                <c:pt idx="22">
                  <c:v>8.496303858762108</c:v>
                </c:pt>
                <c:pt idx="23">
                  <c:v>9.193942549475628</c:v>
                </c:pt>
                <c:pt idx="24">
                  <c:v>9.731906288081488</c:v>
                </c:pt>
              </c:numCache>
            </c:numRef>
          </c:yVal>
          <c:smooth val="1"/>
        </c:ser>
        <c:ser>
          <c:idx val="2"/>
          <c:order val="2"/>
          <c:tx>
            <c:v>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расчет!$B$63:$IV$63</c:f>
              <c:numCache>
                <c:ptCount val="25"/>
                <c:pt idx="0">
                  <c:v>6.018005750368491</c:v>
                </c:pt>
                <c:pt idx="1">
                  <c:v>6.60459557971115</c:v>
                </c:pt>
                <c:pt idx="2">
                  <c:v>7.012756899421972</c:v>
                </c:pt>
                <c:pt idx="3">
                  <c:v>7.187684484131182</c:v>
                </c:pt>
                <c:pt idx="4">
                  <c:v>7.161707114072109</c:v>
                </c:pt>
                <c:pt idx="5">
                  <c:v>6.991701972717642</c:v>
                </c:pt>
                <c:pt idx="6">
                  <c:v>6.729348592129006</c:v>
                </c:pt>
                <c:pt idx="7">
                  <c:v>6.415565998169023</c:v>
                </c:pt>
                <c:pt idx="8">
                  <c:v>6.081738314125672</c:v>
                </c:pt>
                <c:pt idx="9">
                  <c:v>5.751441041533348</c:v>
                </c:pt>
                <c:pt idx="10">
                  <c:v>5.441619141793027</c:v>
                </c:pt>
                <c:pt idx="11">
                  <c:v>5.163447649585359</c:v>
                </c:pt>
                <c:pt idx="12">
                  <c:v>4.923194583160526</c:v>
                </c:pt>
                <c:pt idx="13">
                  <c:v>4.723249655107335</c:v>
                </c:pt>
                <c:pt idx="14">
                  <c:v>4.563324997423863</c:v>
                </c:pt>
                <c:pt idx="15">
                  <c:v>4.441746331853472</c:v>
                </c:pt>
                <c:pt idx="16">
                  <c:v>4.3567594357091</c:v>
                </c:pt>
                <c:pt idx="17">
                  <c:v>4.307873374824579</c:v>
                </c:pt>
                <c:pt idx="18">
                  <c:v>4.297427449782244</c:v>
                </c:pt>
                <c:pt idx="19">
                  <c:v>4.332771039810936</c:v>
                </c:pt>
                <c:pt idx="20">
                  <c:v>4.42954716684042</c:v>
                </c:pt>
                <c:pt idx="21">
                  <c:v>4.615823670673531</c:v>
                </c:pt>
                <c:pt idx="22">
                  <c:v>4.932386717580851</c:v>
                </c:pt>
                <c:pt idx="23">
                  <c:v>5.411949100143002</c:v>
                </c:pt>
                <c:pt idx="24">
                  <c:v>6.018005750368491</c:v>
                </c:pt>
              </c:numCache>
            </c:numRef>
          </c:xVal>
          <c:yVal>
            <c:numRef>
              <c:f>расчет!$B$65:$IV$65</c:f>
              <c:numCache>
                <c:ptCount val="25"/>
                <c:pt idx="0">
                  <c:v>3.673866382182787</c:v>
                </c:pt>
                <c:pt idx="1">
                  <c:v>3.8741670124130447</c:v>
                </c:pt>
                <c:pt idx="2">
                  <c:v>3.956658380606482</c:v>
                </c:pt>
                <c:pt idx="3">
                  <c:v>3.978692739502993</c:v>
                </c:pt>
                <c:pt idx="4">
                  <c:v>3.975914906803842</c:v>
                </c:pt>
                <c:pt idx="5">
                  <c:v>3.9534761299398777</c:v>
                </c:pt>
                <c:pt idx="6">
                  <c:v>3.9040960702795537</c:v>
                </c:pt>
                <c:pt idx="7">
                  <c:v>3.8206172400944136</c:v>
                </c:pt>
                <c:pt idx="8">
                  <c:v>3.700659597045646</c:v>
                </c:pt>
                <c:pt idx="9">
                  <c:v>3.5472284641777283</c:v>
                </c:pt>
                <c:pt idx="10">
                  <c:v>3.3676983343116897</c:v>
                </c:pt>
                <c:pt idx="11">
                  <c:v>3.1722567115050584</c:v>
                </c:pt>
                <c:pt idx="12">
                  <c:v>2.97232447091142</c:v>
                </c:pt>
                <c:pt idx="13">
                  <c:v>2.7792638329528785</c:v>
                </c:pt>
                <c:pt idx="14">
                  <c:v>2.603575412529704</c:v>
                </c:pt>
                <c:pt idx="15">
                  <c:v>2.4546758986959976</c:v>
                </c:pt>
                <c:pt idx="16">
                  <c:v>2.341236989742399</c:v>
                </c:pt>
                <c:pt idx="17">
                  <c:v>2.271982016612608</c:v>
                </c:pt>
                <c:pt idx="18">
                  <c:v>2.256770823665574</c:v>
                </c:pt>
                <c:pt idx="19">
                  <c:v>2.30764271968212</c:v>
                </c:pt>
                <c:pt idx="20">
                  <c:v>2.438899102609699</c:v>
                </c:pt>
                <c:pt idx="21">
                  <c:v>2.6635862357895603</c:v>
                </c:pt>
                <c:pt idx="22">
                  <c:v>2.9805770205550695</c:v>
                </c:pt>
                <c:pt idx="23">
                  <c:v>3.348497164346265</c:v>
                </c:pt>
                <c:pt idx="24">
                  <c:v>3.673866382182787</c:v>
                </c:pt>
              </c:numCache>
            </c:numRef>
          </c:yVal>
          <c:smooth val="1"/>
        </c:ser>
        <c:ser>
          <c:idx val="3"/>
          <c:order val="3"/>
          <c:tx>
            <c:v>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расчет!$B$81:$IV$81</c:f>
              <c:numCache>
                <c:ptCount val="25"/>
                <c:pt idx="0">
                  <c:v>3.59573090371413</c:v>
                </c:pt>
                <c:pt idx="1">
                  <c:v>3.8337916814999025</c:v>
                </c:pt>
                <c:pt idx="2">
                  <c:v>3.9864474653176383</c:v>
                </c:pt>
                <c:pt idx="3">
                  <c:v>4.049667500285296</c:v>
                </c:pt>
                <c:pt idx="4">
                  <c:v>4.040345674868727</c:v>
                </c:pt>
                <c:pt idx="5">
                  <c:v>3.9787616734759954</c:v>
                </c:pt>
                <c:pt idx="6">
                  <c:v>3.8813469990177394</c:v>
                </c:pt>
                <c:pt idx="7">
                  <c:v>3.759917363615631</c:v>
                </c:pt>
                <c:pt idx="8">
                  <c:v>3.622979964267419</c:v>
                </c:pt>
                <c:pt idx="9">
                  <c:v>3.4771552917196025</c:v>
                </c:pt>
                <c:pt idx="10">
                  <c:v>3.3281563407292687</c:v>
                </c:pt>
                <c:pt idx="11">
                  <c:v>3.181281946835723</c:v>
                </c:pt>
                <c:pt idx="12">
                  <c:v>3.0415396758047755</c:v>
                </c:pt>
                <c:pt idx="13">
                  <c:v>2.9135704384237586</c:v>
                </c:pt>
                <c:pt idx="14">
                  <c:v>2.80155929905086</c:v>
                </c:pt>
                <c:pt idx="15">
                  <c:v>2.709282960202481</c:v>
                </c:pt>
                <c:pt idx="16">
                  <c:v>2.6403775328023693</c:v>
                </c:pt>
                <c:pt idx="17">
                  <c:v>2.5988451908784427</c:v>
                </c:pt>
                <c:pt idx="18">
                  <c:v>2.589774377605899</c:v>
                </c:pt>
                <c:pt idx="19">
                  <c:v>2.6201824382612857</c:v>
                </c:pt>
                <c:pt idx="20">
                  <c:v>2.699631382202435</c:v>
                </c:pt>
                <c:pt idx="21">
                  <c:v>2.8394065164070845</c:v>
                </c:pt>
                <c:pt idx="22">
                  <c:v>3.0471461198166483</c:v>
                </c:pt>
                <c:pt idx="23">
                  <c:v>3.3131409588919287</c:v>
                </c:pt>
                <c:pt idx="24">
                  <c:v>3.59573090371413</c:v>
                </c:pt>
              </c:numCache>
            </c:numRef>
          </c:xVal>
          <c:yVal>
            <c:numRef>
              <c:f>расчет!$B$82:$Z$82</c:f>
              <c:numCache>
                <c:ptCount val="25"/>
                <c:pt idx="0">
                  <c:v>-0.7002146146970816</c:v>
                </c:pt>
                <c:pt idx="1">
                  <c:v>-0.28788125228275874</c:v>
                </c:pt>
                <c:pt idx="2">
                  <c:v>-0.023473678641189544</c:v>
                </c:pt>
                <c:pt idx="3">
                  <c:v>0.08602663397907317</c:v>
                </c:pt>
                <c:pt idx="4">
                  <c:v>0.06988075873828858</c:v>
                </c:pt>
                <c:pt idx="5">
                  <c:v>-0.036785860607316145</c:v>
                </c:pt>
                <c:pt idx="6">
                  <c:v>-0.20551302617179612</c:v>
                </c:pt>
                <c:pt idx="7">
                  <c:v>-0.415835324232809</c:v>
                </c:pt>
                <c:pt idx="8">
                  <c:v>-0.6530178573602634</c:v>
                </c:pt>
                <c:pt idx="9">
                  <c:v>-0.9055935992101767</c:v>
                </c:pt>
                <c:pt idx="10">
                  <c:v>-1.1636673525998988</c:v>
                </c:pt>
                <c:pt idx="11">
                  <c:v>-1.4180612651544053</c:v>
                </c:pt>
                <c:pt idx="12">
                  <c:v>-1.660101978545065</c:v>
                </c:pt>
                <c:pt idx="13">
                  <c:v>-1.88175119949483</c:v>
                </c:pt>
                <c:pt idx="14">
                  <c:v>-2.0757601839023665</c:v>
                </c:pt>
                <c:pt idx="15">
                  <c:v>-2.2355874911242024</c:v>
                </c:pt>
                <c:pt idx="16">
                  <c:v>-2.354935192298446</c:v>
                </c:pt>
                <c:pt idx="17">
                  <c:v>-2.4268713186680078</c:v>
                </c:pt>
                <c:pt idx="18">
                  <c:v>-2.442582428122026</c:v>
                </c:pt>
                <c:pt idx="19">
                  <c:v>-2.3899141221072595</c:v>
                </c:pt>
                <c:pt idx="20">
                  <c:v>-2.2523045145934963</c:v>
                </c:pt>
                <c:pt idx="21">
                  <c:v>-2.010206880516284</c:v>
                </c:pt>
                <c:pt idx="22">
                  <c:v>-1.6503913326667128</c:v>
                </c:pt>
                <c:pt idx="23">
                  <c:v>-1.189674756837221</c:v>
                </c:pt>
                <c:pt idx="24">
                  <c:v>-0.7002146146970816</c:v>
                </c:pt>
              </c:numCache>
            </c:numRef>
          </c:yVal>
          <c:smooth val="1"/>
        </c:ser>
        <c:ser>
          <c:idx val="4"/>
          <c:order val="4"/>
          <c:tx>
            <c:v>О1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расчет!$D$3</c:f>
              <c:numCache>
                <c:ptCount val="1"/>
                <c:pt idx="0">
                  <c:v>7.6</c:v>
                </c:pt>
              </c:numCache>
            </c:numRef>
          </c:xVal>
          <c:yVal>
            <c:numRef>
              <c:f>расчет!$D$4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расчет!$B$90:$IV$90</c:f>
              <c:numCache>
                <c:ptCount val="25"/>
                <c:pt idx="0">
                  <c:v>6.520432718388327</c:v>
                </c:pt>
                <c:pt idx="1">
                  <c:v>7.242877805761704</c:v>
                </c:pt>
                <c:pt idx="2">
                  <c:v>7.727101968845073</c:v>
                </c:pt>
                <c:pt idx="3">
                  <c:v>7.934946841652013</c:v>
                </c:pt>
                <c:pt idx="4">
                  <c:v>7.903985781248985</c:v>
                </c:pt>
                <c:pt idx="5">
                  <c:v>7.702159726249094</c:v>
                </c:pt>
                <c:pt idx="6">
                  <c:v>7.391401709722717</c:v>
                </c:pt>
                <c:pt idx="7">
                  <c:v>7.015499988734781</c:v>
                </c:pt>
                <c:pt idx="8">
                  <c:v>6.601909161137676</c:v>
                </c:pt>
                <c:pt idx="9">
                  <c:v>6.167277779714521</c:v>
                </c:pt>
                <c:pt idx="10">
                  <c:v>5.7224454738606365</c:v>
                </c:pt>
                <c:pt idx="11">
                  <c:v>5.27606544355009</c:v>
                </c:pt>
                <c:pt idx="12">
                  <c:v>4.8370801412664655</c:v>
                </c:pt>
                <c:pt idx="13">
                  <c:v>4.416409736176293</c:v>
                </c:pt>
                <c:pt idx="14">
                  <c:v>4.028112768304455</c:v>
                </c:pt>
                <c:pt idx="15">
                  <c:v>3.6901628907305266</c:v>
                </c:pt>
                <c:pt idx="16">
                  <c:v>3.424869193938763</c:v>
                </c:pt>
                <c:pt idx="17">
                  <c:v>3.2588055044013666</c:v>
                </c:pt>
                <c:pt idx="18">
                  <c:v>3.221866508944152</c:v>
                </c:pt>
                <c:pt idx="19">
                  <c:v>3.344736371124341</c:v>
                </c:pt>
                <c:pt idx="20">
                  <c:v>3.6537179821757126</c:v>
                </c:pt>
                <c:pt idx="21">
                  <c:v>4.1617519658239015</c:v>
                </c:pt>
                <c:pt idx="22">
                  <c:v>4.8550528078651265</c:v>
                </c:pt>
                <c:pt idx="23">
                  <c:v>5.677294879610422</c:v>
                </c:pt>
                <c:pt idx="24">
                  <c:v>6.520432718388327</c:v>
                </c:pt>
              </c:numCache>
            </c:numRef>
          </c:xVal>
          <c:yVal>
            <c:numRef>
              <c:f>расчет!$B$91:$Z$91</c:f>
              <c:numCache>
                <c:ptCount val="25"/>
                <c:pt idx="0">
                  <c:v>4.5679337462276814</c:v>
                </c:pt>
                <c:pt idx="1">
                  <c:v>4.631139501392848</c:v>
                </c:pt>
                <c:pt idx="2">
                  <c:v>4.673503626267972</c:v>
                </c:pt>
                <c:pt idx="3">
                  <c:v>4.691687696410566</c:v>
                </c:pt>
                <c:pt idx="4">
                  <c:v>4.6889789546145595</c:v>
                </c:pt>
                <c:pt idx="5">
                  <c:v>4.67132146279791</c:v>
                </c:pt>
                <c:pt idx="6">
                  <c:v>4.6441336592520495</c:v>
                </c:pt>
                <c:pt idx="7">
                  <c:v>4.611246520065721</c:v>
                </c:pt>
                <c:pt idx="8">
                  <c:v>4.575062011312668</c:v>
                </c:pt>
                <c:pt idx="9">
                  <c:v>4.537036692625531</c:v>
                </c:pt>
                <c:pt idx="10">
                  <c:v>4.49811890869322</c:v>
                </c:pt>
                <c:pt idx="11">
                  <c:v>4.459065716416688</c:v>
                </c:pt>
                <c:pt idx="12">
                  <c:v>4.42065947901237</c:v>
                </c:pt>
                <c:pt idx="13">
                  <c:v>4.3838555874861225</c:v>
                </c:pt>
                <c:pt idx="14">
                  <c:v>4.349884004715847</c:v>
                </c:pt>
                <c:pt idx="15">
                  <c:v>4.320317221588153</c:v>
                </c:pt>
                <c:pt idx="16">
                  <c:v>4.29710703061399</c:v>
                </c:pt>
                <c:pt idx="17">
                  <c:v>4.28257834035618</c:v>
                </c:pt>
                <c:pt idx="18">
                  <c:v>4.279346597011637</c:v>
                </c:pt>
                <c:pt idx="19">
                  <c:v>4.290096317041397</c:v>
                </c:pt>
                <c:pt idx="20">
                  <c:v>4.317128705246368</c:v>
                </c:pt>
                <c:pt idx="21">
                  <c:v>4.361575919501499</c:v>
                </c:pt>
                <c:pt idx="22">
                  <c:v>4.422231883593084</c:v>
                </c:pt>
                <c:pt idx="23">
                  <c:v>4.494168743544867</c:v>
                </c:pt>
                <c:pt idx="24">
                  <c:v>4.5679337462276814</c:v>
                </c:pt>
              </c:numCache>
            </c:numRef>
          </c:yVal>
          <c:smooth val="1"/>
        </c:ser>
        <c:ser>
          <c:idx val="6"/>
          <c:order val="6"/>
          <c:tx>
            <c:v>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расчет!$B$104:$IV$104</c:f>
              <c:numCache>
                <c:ptCount val="25"/>
                <c:pt idx="0">
                  <c:v>5.087242089580179</c:v>
                </c:pt>
                <c:pt idx="1">
                  <c:v>6.092067862883274</c:v>
                </c:pt>
                <c:pt idx="2">
                  <c:v>6.781844062514229</c:v>
                </c:pt>
                <c:pt idx="3">
                  <c:v>7.0799061314826774</c:v>
                </c:pt>
                <c:pt idx="4">
                  <c:v>7.035468707619932</c:v>
                </c:pt>
                <c:pt idx="5">
                  <c:v>6.746127435243764</c:v>
                </c:pt>
                <c:pt idx="6">
                  <c:v>6.302666388202941</c:v>
                </c:pt>
                <c:pt idx="7">
                  <c:v>5.771939634089751</c:v>
                </c:pt>
                <c:pt idx="8">
                  <c:v>5.198597209707975</c:v>
                </c:pt>
                <c:pt idx="9">
                  <c:v>4.611440814982962</c:v>
                </c:pt>
                <c:pt idx="10">
                  <c:v>4.029214128601724</c:v>
                </c:pt>
                <c:pt idx="11">
                  <c:v>3.4649344495494407</c:v>
                </c:pt>
                <c:pt idx="12">
                  <c:v>2.9290824997603124</c:v>
                </c:pt>
                <c:pt idx="13">
                  <c:v>2.432048008196874</c:v>
                </c:pt>
                <c:pt idx="14">
                  <c:v>1.986061705205067</c:v>
                </c:pt>
                <c:pt idx="15">
                  <c:v>1.6066993272684087</c:v>
                </c:pt>
                <c:pt idx="16">
                  <c:v>1.3139479478022038</c:v>
                </c:pt>
                <c:pt idx="17">
                  <c:v>1.1327280372107151</c:v>
                </c:pt>
                <c:pt idx="18">
                  <c:v>1.0926162760260563</c:v>
                </c:pt>
                <c:pt idx="19">
                  <c:v>1.2263159430631738</c:v>
                </c:pt>
                <c:pt idx="20">
                  <c:v>1.566232383708602</c:v>
                </c:pt>
                <c:pt idx="21">
                  <c:v>2.138266131725957</c:v>
                </c:pt>
                <c:pt idx="22">
                  <c:v>2.950665184714213</c:v>
                </c:pt>
                <c:pt idx="23">
                  <c:v>3.971226094836411</c:v>
                </c:pt>
                <c:pt idx="24">
                  <c:v>5.087242089580179</c:v>
                </c:pt>
              </c:numCache>
            </c:numRef>
          </c:xVal>
          <c:yVal>
            <c:numRef>
              <c:f>расчет!$B$105:$Z$105</c:f>
              <c:numCache>
                <c:ptCount val="25"/>
                <c:pt idx="0">
                  <c:v>6.284315003843979</c:v>
                </c:pt>
                <c:pt idx="1">
                  <c:v>6.548334451149431</c:v>
                </c:pt>
                <c:pt idx="2">
                  <c:v>6.699950637793076</c:v>
                </c:pt>
                <c:pt idx="3">
                  <c:v>6.757820650494866</c:v>
                </c:pt>
                <c:pt idx="4">
                  <c:v>6.749483284339402</c:v>
                </c:pt>
                <c:pt idx="5">
                  <c:v>6.692707684813659</c:v>
                </c:pt>
                <c:pt idx="6">
                  <c:v>6.597247941539502</c:v>
                </c:pt>
                <c:pt idx="7">
                  <c:v>6.469621521069319</c:v>
                </c:pt>
                <c:pt idx="8">
                  <c:v>6.315957058974807</c:v>
                </c:pt>
                <c:pt idx="9">
                  <c:v>6.143078827556892</c:v>
                </c:pt>
                <c:pt idx="10">
                  <c:v>5.958587193673312</c:v>
                </c:pt>
                <c:pt idx="11">
                  <c:v>5.770478894088095</c:v>
                </c:pt>
                <c:pt idx="12">
                  <c:v>5.586654762024679</c:v>
                </c:pt>
                <c:pt idx="13">
                  <c:v>5.414539114341254</c:v>
                </c:pt>
                <c:pt idx="14">
                  <c:v>5.260942430775701</c:v>
                </c:pt>
                <c:pt idx="15">
                  <c:v>5.132215971264325</c:v>
                </c:pt>
                <c:pt idx="16">
                  <c:v>5.034678378084372</c:v>
                </c:pt>
                <c:pt idx="17">
                  <c:v>4.9752504153701675</c:v>
                </c:pt>
                <c:pt idx="18">
                  <c:v>4.962203423599929</c:v>
                </c:pt>
                <c:pt idx="19">
                  <c:v>5.005844100812425</c:v>
                </c:pt>
                <c:pt idx="20">
                  <c:v>5.118629719713853</c:v>
                </c:pt>
                <c:pt idx="21">
                  <c:v>5.313156225731585</c:v>
                </c:pt>
                <c:pt idx="22">
                  <c:v>5.594114036708154</c:v>
                </c:pt>
                <c:pt idx="23">
                  <c:v>5.9396199885267675</c:v>
                </c:pt>
                <c:pt idx="24">
                  <c:v>6.284315003843979</c:v>
                </c:pt>
              </c:numCache>
            </c:numRef>
          </c:yVal>
          <c:smooth val="1"/>
        </c:ser>
        <c:axId val="18199407"/>
        <c:axId val="29576936"/>
      </c:scatterChart>
      <c:valAx>
        <c:axId val="181994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576936"/>
        <c:crosses val="autoZero"/>
        <c:crossBetween val="midCat"/>
        <c:dispUnits/>
      </c:valAx>
      <c:valAx>
        <c:axId val="2957693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199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траектория точки 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расчет!$B$55:$Z$55</c:f>
              <c:numCache>
                <c:ptCount val="25"/>
                <c:pt idx="0">
                  <c:v>5.299999999999998</c:v>
                </c:pt>
                <c:pt idx="1">
                  <c:v>6.831150127999447</c:v>
                </c:pt>
                <c:pt idx="2">
                  <c:v>7.871862397726833</c:v>
                </c:pt>
                <c:pt idx="3">
                  <c:v>8.312103067491254</c:v>
                </c:pt>
                <c:pt idx="4">
                  <c:v>8.24694036493347</c:v>
                </c:pt>
                <c:pt idx="5">
                  <c:v>7.818643280010177</c:v>
                </c:pt>
                <c:pt idx="6">
                  <c:v>7.151287278495801</c:v>
                </c:pt>
                <c:pt idx="7">
                  <c:v>6.3425085834270725</c:v>
                </c:pt>
                <c:pt idx="8">
                  <c:v>5.468542289605474</c:v>
                </c:pt>
                <c:pt idx="9">
                  <c:v>4.588736410936486</c:v>
                </c:pt>
                <c:pt idx="10">
                  <c:v>3.748011188924529</c:v>
                </c:pt>
                <c:pt idx="11">
                  <c:v>2.978302379340211</c:v>
                </c:pt>
                <c:pt idx="12">
                  <c:v>2.300000000000001</c:v>
                </c:pt>
                <c:pt idx="13">
                  <c:v>1.723920141792585</c:v>
                </c:pt>
                <c:pt idx="14">
                  <c:v>1.2539125997221543</c:v>
                </c:pt>
                <c:pt idx="15">
                  <c:v>0.8899432455038703</c:v>
                </c:pt>
                <c:pt idx="16">
                  <c:v>0.6314577103945254</c:v>
                </c:pt>
                <c:pt idx="17">
                  <c:v>0.4810342812653652</c:v>
                </c:pt>
                <c:pt idx="18">
                  <c:v>0.4487127215041977</c:v>
                </c:pt>
                <c:pt idx="19">
                  <c:v>0.5578138552973848</c:v>
                </c:pt>
                <c:pt idx="20">
                  <c:v>0.853059635066526</c:v>
                </c:pt>
                <c:pt idx="21">
                  <c:v>1.4092172760683894</c:v>
                </c:pt>
                <c:pt idx="22">
                  <c:v>2.326213813626482</c:v>
                </c:pt>
                <c:pt idx="23">
                  <c:v>3.6666273508677554</c:v>
                </c:pt>
                <c:pt idx="24">
                  <c:v>5.299999999999998</c:v>
                </c:pt>
              </c:numCache>
            </c:numRef>
          </c:xVal>
          <c:yVal>
            <c:numRef>
              <c:f>расчет!$B$56:$Z$56</c:f>
              <c:numCache>
                <c:ptCount val="25"/>
                <c:pt idx="0">
                  <c:v>9.731906288081488</c:v>
                </c:pt>
                <c:pt idx="1">
                  <c:v>9.97039968478319</c:v>
                </c:pt>
                <c:pt idx="2">
                  <c:v>9.996303858762108</c:v>
                </c:pt>
                <c:pt idx="3">
                  <c:v>9.974613236675872</c:v>
                </c:pt>
                <c:pt idx="4">
                  <c:v>9.979051466157479</c:v>
                </c:pt>
                <c:pt idx="5">
                  <c:v>9.997609470073654</c:v>
                </c:pt>
                <c:pt idx="6">
                  <c:v>9.989927772189361</c:v>
                </c:pt>
                <c:pt idx="7">
                  <c:v>9.920620713304455</c:v>
                </c:pt>
                <c:pt idx="8">
                  <c:v>9.770204093507962</c:v>
                </c:pt>
                <c:pt idx="9">
                  <c:v>9.53584246918857</c:v>
                </c:pt>
                <c:pt idx="10">
                  <c:v>9.228335830438192</c:v>
                </c:pt>
                <c:pt idx="11">
                  <c:v>8.867914698686928</c:v>
                </c:pt>
                <c:pt idx="12">
                  <c:v>8.479976415061541</c:v>
                </c:pt>
                <c:pt idx="13">
                  <c:v>8.091457563379363</c:v>
                </c:pt>
                <c:pt idx="14">
                  <c:v>7.728335830438194</c:v>
                </c:pt>
                <c:pt idx="15">
                  <c:v>7.414522125628927</c:v>
                </c:pt>
                <c:pt idx="16">
                  <c:v>7.172127882154646</c:v>
                </c:pt>
                <c:pt idx="17">
                  <c:v>7.022843234437252</c:v>
                </c:pt>
                <c:pt idx="18">
                  <c:v>6.989927772189361</c:v>
                </c:pt>
                <c:pt idx="19">
                  <c:v>7.099831991206448</c:v>
                </c:pt>
                <c:pt idx="20">
                  <c:v>7.380975254804164</c:v>
                </c:pt>
                <c:pt idx="21">
                  <c:v>7.85329289311623</c:v>
                </c:pt>
                <c:pt idx="22">
                  <c:v>8.496303858762108</c:v>
                </c:pt>
                <c:pt idx="23">
                  <c:v>9.193942549475628</c:v>
                </c:pt>
                <c:pt idx="24">
                  <c:v>9.731906288081488</c:v>
                </c:pt>
              </c:numCache>
            </c:numRef>
          </c:yVal>
          <c:smooth val="1"/>
        </c:ser>
        <c:axId val="2187105"/>
        <c:axId val="19683946"/>
      </c:scatterChart>
      <c:valAx>
        <c:axId val="218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83946"/>
        <c:crosses val="autoZero"/>
        <c:crossBetween val="midCat"/>
        <c:dispUnits/>
      </c:valAx>
      <c:valAx>
        <c:axId val="1968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4"/>
          <c:w val="0.92275"/>
          <c:h val="0.72625"/>
        </c:manualLayout>
      </c:layout>
      <c:lineChart>
        <c:grouping val="standard"/>
        <c:varyColors val="0"/>
        <c:ser>
          <c:idx val="0"/>
          <c:order val="0"/>
          <c:tx>
            <c:v>перемещение хВ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расчет!$B$55:$Z$55</c:f>
              <c:numCache>
                <c:ptCount val="25"/>
                <c:pt idx="0">
                  <c:v>5.299999999999998</c:v>
                </c:pt>
                <c:pt idx="1">
                  <c:v>6.831150127999447</c:v>
                </c:pt>
                <c:pt idx="2">
                  <c:v>7.871862397726833</c:v>
                </c:pt>
                <c:pt idx="3">
                  <c:v>8.312103067491254</c:v>
                </c:pt>
                <c:pt idx="4">
                  <c:v>8.24694036493347</c:v>
                </c:pt>
                <c:pt idx="5">
                  <c:v>7.818643280010177</c:v>
                </c:pt>
                <c:pt idx="6">
                  <c:v>7.151287278495801</c:v>
                </c:pt>
                <c:pt idx="7">
                  <c:v>6.3425085834270725</c:v>
                </c:pt>
                <c:pt idx="8">
                  <c:v>5.468542289605474</c:v>
                </c:pt>
                <c:pt idx="9">
                  <c:v>4.588736410936486</c:v>
                </c:pt>
                <c:pt idx="10">
                  <c:v>3.748011188924529</c:v>
                </c:pt>
                <c:pt idx="11">
                  <c:v>2.978302379340211</c:v>
                </c:pt>
                <c:pt idx="12">
                  <c:v>2.300000000000001</c:v>
                </c:pt>
                <c:pt idx="13">
                  <c:v>1.723920141792585</c:v>
                </c:pt>
                <c:pt idx="14">
                  <c:v>1.2539125997221543</c:v>
                </c:pt>
                <c:pt idx="15">
                  <c:v>0.8899432455038703</c:v>
                </c:pt>
                <c:pt idx="16">
                  <c:v>0.6314577103945254</c:v>
                </c:pt>
                <c:pt idx="17">
                  <c:v>0.4810342812653652</c:v>
                </c:pt>
                <c:pt idx="18">
                  <c:v>0.4487127215041977</c:v>
                </c:pt>
                <c:pt idx="19">
                  <c:v>0.5578138552973848</c:v>
                </c:pt>
                <c:pt idx="20">
                  <c:v>0.853059635066526</c:v>
                </c:pt>
                <c:pt idx="21">
                  <c:v>1.4092172760683894</c:v>
                </c:pt>
                <c:pt idx="22">
                  <c:v>2.326213813626482</c:v>
                </c:pt>
                <c:pt idx="23">
                  <c:v>3.6666273508677554</c:v>
                </c:pt>
                <c:pt idx="24">
                  <c:v>5.299999999999998</c:v>
                </c:pt>
              </c:numCache>
            </c:numRef>
          </c:val>
          <c:smooth val="1"/>
        </c:ser>
        <c:ser>
          <c:idx val="1"/>
          <c:order val="1"/>
          <c:tx>
            <c:v>скорость хВ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расчет!$B$57:$Z$57</c:f>
              <c:numCache>
                <c:ptCount val="25"/>
                <c:pt idx="0">
                  <c:v>6.346895405270537</c:v>
                </c:pt>
                <c:pt idx="1">
                  <c:v>5.081029576440436</c:v>
                </c:pt>
                <c:pt idx="2">
                  <c:v>2.808676793772026</c:v>
                </c:pt>
                <c:pt idx="3">
                  <c:v>0.6264012382599327</c:v>
                </c:pt>
                <c:pt idx="4">
                  <c:v>-1.0301781168544948</c:v>
                </c:pt>
                <c:pt idx="5">
                  <c:v>-2.1626477315388533</c:v>
                </c:pt>
                <c:pt idx="6">
                  <c:v>-2.8738301478704793</c:v>
                </c:pt>
                <c:pt idx="7">
                  <c:v>-3.2565403782770277</c:v>
                </c:pt>
                <c:pt idx="8">
                  <c:v>-3.3824326480321716</c:v>
                </c:pt>
                <c:pt idx="9">
                  <c:v>-3.31027439002197</c:v>
                </c:pt>
                <c:pt idx="10">
                  <c:v>-3.0921490872205175</c:v>
                </c:pt>
                <c:pt idx="11">
                  <c:v>-2.7751372540179187</c:v>
                </c:pt>
                <c:pt idx="12">
                  <c:v>-2.399993325017418</c:v>
                </c:pt>
                <c:pt idx="13">
                  <c:v>-1.998680118710355</c:v>
                </c:pt>
                <c:pt idx="14">
                  <c:v>-1.5921490872205175</c:v>
                </c:pt>
                <c:pt idx="15">
                  <c:v>-1.188954046462328</c:v>
                </c:pt>
                <c:pt idx="16">
                  <c:v>-0.7843564366788569</c:v>
                </c:pt>
                <c:pt idx="17">
                  <c:v>-0.35876289940982176</c:v>
                </c:pt>
                <c:pt idx="18">
                  <c:v>0.1261698521295198</c:v>
                </c:pt>
                <c:pt idx="19">
                  <c:v>0.7351297473283513</c:v>
                </c:pt>
                <c:pt idx="20">
                  <c:v>1.5678980944988208</c:v>
                </c:pt>
                <c:pt idx="21">
                  <c:v>2.7477215818195755</c:v>
                </c:pt>
                <c:pt idx="22">
                  <c:v>4.308676793772024</c:v>
                </c:pt>
                <c:pt idx="23">
                  <c:v>5.857486711747993</c:v>
                </c:pt>
                <c:pt idx="24">
                  <c:v>6.346895405270538</c:v>
                </c:pt>
              </c:numCache>
            </c:numRef>
          </c:val>
          <c:smooth val="1"/>
        </c:ser>
        <c:ser>
          <c:idx val="2"/>
          <c:order val="2"/>
          <c:tx>
            <c:v>ускорение хВ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расчет!$B$59:$Z$59</c:f>
              <c:numCache>
                <c:ptCount val="25"/>
                <c:pt idx="0">
                  <c:v>-1.4999999999999973</c:v>
                </c:pt>
                <c:pt idx="1">
                  <c:v>-7.577812072809676</c:v>
                </c:pt>
                <c:pt idx="2">
                  <c:v>-9.01373160560017</c:v>
                </c:pt>
                <c:pt idx="3">
                  <c:v>-7.410703880138692</c:v>
                </c:pt>
                <c:pt idx="4">
                  <c:v>-5.267806382561637</c:v>
                </c:pt>
                <c:pt idx="5">
                  <c:v>-3.454488837335978</c:v>
                </c:pt>
                <c:pt idx="6">
                  <c:v>-2.0377044586286552</c:v>
                </c:pt>
                <c:pt idx="7">
                  <c:v>-0.9309425926863002</c:v>
                </c:pt>
                <c:pt idx="8">
                  <c:v>-0.06781602404511794</c:v>
                </c:pt>
                <c:pt idx="9">
                  <c:v>0.5859968082663776</c:v>
                </c:pt>
                <c:pt idx="10">
                  <c:v>1.0502833973857815</c:v>
                </c:pt>
                <c:pt idx="11">
                  <c:v>1.345393463601064</c:v>
                </c:pt>
                <c:pt idx="12">
                  <c:v>1.5000000000000007</c:v>
                </c:pt>
                <c:pt idx="13">
                  <c:v>1.55238401526614</c:v>
                </c:pt>
                <c:pt idx="14">
                  <c:v>1.5477928139675348</c:v>
                </c:pt>
                <c:pt idx="15">
                  <c:v>1.5353235352932646</c:v>
                </c:pt>
                <c:pt idx="16">
                  <c:v>1.567816024045117</c:v>
                </c:pt>
                <c:pt idx="17">
                  <c:v>1.707399727993864</c:v>
                </c:pt>
                <c:pt idx="18">
                  <c:v>2.0377044586286543</c:v>
                </c:pt>
                <c:pt idx="19">
                  <c:v>2.678031702028413</c:v>
                </c:pt>
                <c:pt idx="20">
                  <c:v>3.767806382561634</c:v>
                </c:pt>
                <c:pt idx="21">
                  <c:v>5.289383536579048</c:v>
                </c:pt>
                <c:pt idx="22">
                  <c:v>6.415655394246854</c:v>
                </c:pt>
                <c:pt idx="23">
                  <c:v>4.680034593942463</c:v>
                </c:pt>
                <c:pt idx="24">
                  <c:v>-1.4999999999999973</c:v>
                </c:pt>
              </c:numCache>
            </c:numRef>
          </c:val>
          <c:smooth val="1"/>
        </c:ser>
        <c:axId val="42937787"/>
        <c:axId val="50895764"/>
      </c:lineChart>
      <c:catAx>
        <c:axId val="429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95764"/>
        <c:crosses val="autoZero"/>
        <c:auto val="0"/>
        <c:lblOffset val="100"/>
        <c:noMultiLvlLbl val="0"/>
      </c:catAx>
      <c:valAx>
        <c:axId val="50895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37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25"/>
          <c:y val="0.1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траектория точки 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расчет!$B$63:$Z$63</c:f>
              <c:numCache>
                <c:ptCount val="25"/>
                <c:pt idx="0">
                  <c:v>6.018005750368491</c:v>
                </c:pt>
                <c:pt idx="1">
                  <c:v>6.60459557971115</c:v>
                </c:pt>
                <c:pt idx="2">
                  <c:v>7.012756899421972</c:v>
                </c:pt>
                <c:pt idx="3">
                  <c:v>7.187684484131182</c:v>
                </c:pt>
                <c:pt idx="4">
                  <c:v>7.161707114072109</c:v>
                </c:pt>
                <c:pt idx="5">
                  <c:v>6.991701972717642</c:v>
                </c:pt>
                <c:pt idx="6">
                  <c:v>6.729348592129006</c:v>
                </c:pt>
                <c:pt idx="7">
                  <c:v>6.415565998169023</c:v>
                </c:pt>
                <c:pt idx="8">
                  <c:v>6.081738314125672</c:v>
                </c:pt>
                <c:pt idx="9">
                  <c:v>5.751441041533348</c:v>
                </c:pt>
                <c:pt idx="10">
                  <c:v>5.441619141793027</c:v>
                </c:pt>
                <c:pt idx="11">
                  <c:v>5.163447649585359</c:v>
                </c:pt>
                <c:pt idx="12">
                  <c:v>4.923194583160526</c:v>
                </c:pt>
                <c:pt idx="13">
                  <c:v>4.723249655107335</c:v>
                </c:pt>
                <c:pt idx="14">
                  <c:v>4.563324997423863</c:v>
                </c:pt>
                <c:pt idx="15">
                  <c:v>4.441746331853472</c:v>
                </c:pt>
                <c:pt idx="16">
                  <c:v>4.3567594357091</c:v>
                </c:pt>
                <c:pt idx="17">
                  <c:v>4.307873374824579</c:v>
                </c:pt>
                <c:pt idx="18">
                  <c:v>4.297427449782244</c:v>
                </c:pt>
                <c:pt idx="19">
                  <c:v>4.332771039810936</c:v>
                </c:pt>
                <c:pt idx="20">
                  <c:v>4.42954716684042</c:v>
                </c:pt>
                <c:pt idx="21">
                  <c:v>4.615823670673531</c:v>
                </c:pt>
                <c:pt idx="22">
                  <c:v>4.932386717580851</c:v>
                </c:pt>
                <c:pt idx="23">
                  <c:v>5.411949100143002</c:v>
                </c:pt>
                <c:pt idx="24">
                  <c:v>6.018005750368491</c:v>
                </c:pt>
              </c:numCache>
            </c:numRef>
          </c:xVal>
          <c:yVal>
            <c:numRef>
              <c:f>расчет!$B$65:$Z$65</c:f>
              <c:numCache>
                <c:ptCount val="25"/>
                <c:pt idx="0">
                  <c:v>3.673866382182787</c:v>
                </c:pt>
                <c:pt idx="1">
                  <c:v>3.8741670124130447</c:v>
                </c:pt>
                <c:pt idx="2">
                  <c:v>3.956658380606482</c:v>
                </c:pt>
                <c:pt idx="3">
                  <c:v>3.978692739502993</c:v>
                </c:pt>
                <c:pt idx="4">
                  <c:v>3.975914906803842</c:v>
                </c:pt>
                <c:pt idx="5">
                  <c:v>3.9534761299398777</c:v>
                </c:pt>
                <c:pt idx="6">
                  <c:v>3.9040960702795537</c:v>
                </c:pt>
                <c:pt idx="7">
                  <c:v>3.8206172400944136</c:v>
                </c:pt>
                <c:pt idx="8">
                  <c:v>3.700659597045646</c:v>
                </c:pt>
                <c:pt idx="9">
                  <c:v>3.5472284641777283</c:v>
                </c:pt>
                <c:pt idx="10">
                  <c:v>3.3676983343116897</c:v>
                </c:pt>
                <c:pt idx="11">
                  <c:v>3.1722567115050584</c:v>
                </c:pt>
                <c:pt idx="12">
                  <c:v>2.97232447091142</c:v>
                </c:pt>
                <c:pt idx="13">
                  <c:v>2.7792638329528785</c:v>
                </c:pt>
                <c:pt idx="14">
                  <c:v>2.603575412529704</c:v>
                </c:pt>
                <c:pt idx="15">
                  <c:v>2.4546758986959976</c:v>
                </c:pt>
                <c:pt idx="16">
                  <c:v>2.341236989742399</c:v>
                </c:pt>
                <c:pt idx="17">
                  <c:v>2.271982016612608</c:v>
                </c:pt>
                <c:pt idx="18">
                  <c:v>2.256770823665574</c:v>
                </c:pt>
                <c:pt idx="19">
                  <c:v>2.30764271968212</c:v>
                </c:pt>
                <c:pt idx="20">
                  <c:v>2.438899102609699</c:v>
                </c:pt>
                <c:pt idx="21">
                  <c:v>2.6635862357895603</c:v>
                </c:pt>
                <c:pt idx="22">
                  <c:v>2.9805770205550695</c:v>
                </c:pt>
                <c:pt idx="23">
                  <c:v>3.348497164346265</c:v>
                </c:pt>
                <c:pt idx="24">
                  <c:v>3.673866382182787</c:v>
                </c:pt>
              </c:numCache>
            </c:numRef>
          </c:yVal>
          <c:smooth val="1"/>
        </c:ser>
        <c:axId val="55408693"/>
        <c:axId val="28916190"/>
      </c:scatterChart>
      <c:valAx>
        <c:axId val="5540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16190"/>
        <c:crosses val="autoZero"/>
        <c:crossBetween val="midCat"/>
        <c:dispUnits/>
      </c:valAx>
      <c:valAx>
        <c:axId val="2891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08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75"/>
          <c:w val="0.91975"/>
          <c:h val="0.726"/>
        </c:manualLayout>
      </c:layout>
      <c:lineChart>
        <c:grouping val="standard"/>
        <c:varyColors val="0"/>
        <c:ser>
          <c:idx val="0"/>
          <c:order val="0"/>
          <c:tx>
            <c:v>перемещение xD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расчет!$B$63:$Z$63</c:f>
              <c:numCache>
                <c:ptCount val="25"/>
                <c:pt idx="0">
                  <c:v>6.018005750368491</c:v>
                </c:pt>
                <c:pt idx="1">
                  <c:v>6.60459557971115</c:v>
                </c:pt>
                <c:pt idx="2">
                  <c:v>7.012756899421972</c:v>
                </c:pt>
                <c:pt idx="3">
                  <c:v>7.187684484131182</c:v>
                </c:pt>
                <c:pt idx="4">
                  <c:v>7.161707114072109</c:v>
                </c:pt>
                <c:pt idx="5">
                  <c:v>6.991701972717642</c:v>
                </c:pt>
                <c:pt idx="6">
                  <c:v>6.729348592129006</c:v>
                </c:pt>
                <c:pt idx="7">
                  <c:v>6.415565998169023</c:v>
                </c:pt>
                <c:pt idx="8">
                  <c:v>6.081738314125672</c:v>
                </c:pt>
                <c:pt idx="9">
                  <c:v>5.751441041533348</c:v>
                </c:pt>
                <c:pt idx="10">
                  <c:v>5.441619141793027</c:v>
                </c:pt>
                <c:pt idx="11">
                  <c:v>5.163447649585359</c:v>
                </c:pt>
                <c:pt idx="12">
                  <c:v>4.923194583160526</c:v>
                </c:pt>
                <c:pt idx="13">
                  <c:v>4.723249655107335</c:v>
                </c:pt>
                <c:pt idx="14">
                  <c:v>4.563324997423863</c:v>
                </c:pt>
                <c:pt idx="15">
                  <c:v>4.441746331853472</c:v>
                </c:pt>
                <c:pt idx="16">
                  <c:v>4.3567594357091</c:v>
                </c:pt>
                <c:pt idx="17">
                  <c:v>4.307873374824579</c:v>
                </c:pt>
                <c:pt idx="18">
                  <c:v>4.297427449782244</c:v>
                </c:pt>
                <c:pt idx="19">
                  <c:v>4.332771039810936</c:v>
                </c:pt>
                <c:pt idx="20">
                  <c:v>4.42954716684042</c:v>
                </c:pt>
                <c:pt idx="21">
                  <c:v>4.615823670673531</c:v>
                </c:pt>
                <c:pt idx="22">
                  <c:v>4.932386717580851</c:v>
                </c:pt>
                <c:pt idx="23">
                  <c:v>5.411949100143002</c:v>
                </c:pt>
                <c:pt idx="24">
                  <c:v>6.018005750368491</c:v>
                </c:pt>
              </c:numCache>
            </c:numRef>
          </c:val>
          <c:smooth val="1"/>
        </c:ser>
        <c:ser>
          <c:idx val="1"/>
          <c:order val="1"/>
          <c:tx>
            <c:v>скорость xD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расчет!$B$66:$Z$66</c:f>
              <c:numCache>
                <c:ptCount val="25"/>
                <c:pt idx="0">
                  <c:v>2.3959998144670354</c:v>
                </c:pt>
                <c:pt idx="1">
                  <c:v>1.9743197661557543</c:v>
                </c:pt>
                <c:pt idx="2">
                  <c:v>1.1117083605609004</c:v>
                </c:pt>
                <c:pt idx="3">
                  <c:v>0.2498601198407014</c:v>
                </c:pt>
                <c:pt idx="4">
                  <c:v>-0.4104498854781492</c:v>
                </c:pt>
                <c:pt idx="5">
                  <c:v>-0.8552020570217864</c:v>
                </c:pt>
                <c:pt idx="6">
                  <c:v>-1.123102112728606</c:v>
                </c:pt>
                <c:pt idx="7">
                  <c:v>-1.2541548227544823</c:v>
                </c:pt>
                <c:pt idx="8">
                  <c:v>-1.281163803795884</c:v>
                </c:pt>
                <c:pt idx="9">
                  <c:v>-1.2313856461519004</c:v>
                </c:pt>
                <c:pt idx="10">
                  <c:v>-1.1284185493259715</c:v>
                </c:pt>
                <c:pt idx="11">
                  <c:v>-0.9927303180655973</c:v>
                </c:pt>
                <c:pt idx="12">
                  <c:v>-0.8412239068617227</c:v>
                </c:pt>
                <c:pt idx="13">
                  <c:v>-0.6865091145894475</c:v>
                </c:pt>
                <c:pt idx="14">
                  <c:v>-0.536374234701692</c:v>
                </c:pt>
                <c:pt idx="15">
                  <c:v>-0.393619007814425</c:v>
                </c:pt>
                <c:pt idx="16">
                  <c:v>-0.25604176791998334</c:v>
                </c:pt>
                <c:pt idx="17">
                  <c:v>-0.11606450955504345</c:v>
                </c:pt>
                <c:pt idx="18">
                  <c:v>0.040735247972800426</c:v>
                </c:pt>
                <c:pt idx="19">
                  <c:v>0.23893759902278489</c:v>
                </c:pt>
                <c:pt idx="20">
                  <c:v>0.5180813000514648</c:v>
                </c:pt>
                <c:pt idx="21">
                  <c:v>0.9319394405284176</c:v>
                </c:pt>
                <c:pt idx="22">
                  <c:v>1.5115211571996303</c:v>
                </c:pt>
                <c:pt idx="23">
                  <c:v>2.1333369812717335</c:v>
                </c:pt>
                <c:pt idx="24">
                  <c:v>2.3959998144670362</c:v>
                </c:pt>
              </c:numCache>
            </c:numRef>
          </c:val>
          <c:smooth val="1"/>
        </c:ser>
        <c:ser>
          <c:idx val="2"/>
          <c:order val="2"/>
          <c:tx>
            <c:v>ускорение xD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расчет!$B$68:$Z$68</c:f>
              <c:numCache>
                <c:ptCount val="25"/>
                <c:pt idx="0">
                  <c:v>-0.26269085164684836</c:v>
                </c:pt>
                <c:pt idx="1">
                  <c:v>-2.7635628204500504</c:v>
                </c:pt>
                <c:pt idx="2">
                  <c:v>-3.51288946116909</c:v>
                </c:pt>
                <c:pt idx="3">
                  <c:v>-2.9532493931956636</c:v>
                </c:pt>
                <c:pt idx="4">
                  <c:v>-2.0914137328311724</c:v>
                </c:pt>
                <c:pt idx="5">
                  <c:v>-1.3335407502332155</c:v>
                </c:pt>
                <c:pt idx="6">
                  <c:v>-0.7388020848568916</c:v>
                </c:pt>
                <c:pt idx="7">
                  <c:v>-0.2830791334715824</c:v>
                </c:pt>
                <c:pt idx="8">
                  <c:v>0.059520790600627246</c:v>
                </c:pt>
                <c:pt idx="9">
                  <c:v>0.30576141922354777</c:v>
                </c:pt>
                <c:pt idx="10">
                  <c:v>0.46778482509618985</c:v>
                </c:pt>
                <c:pt idx="11">
                  <c:v>0.5579850706677097</c:v>
                </c:pt>
                <c:pt idx="12">
                  <c:v>0.5913758478430198</c:v>
                </c:pt>
                <c:pt idx="13">
                  <c:v>0.5855912840666688</c:v>
                </c:pt>
                <c:pt idx="14">
                  <c:v>0.559576370754548</c:v>
                </c:pt>
                <c:pt idx="15">
                  <c:v>0.5323777828278937</c:v>
                </c:pt>
                <c:pt idx="16">
                  <c:v>0.5233735595979052</c:v>
                </c:pt>
                <c:pt idx="17">
                  <c:v>0.5549473441350113</c:v>
                </c:pt>
                <c:pt idx="18">
                  <c:v>0.6582178213068267</c:v>
                </c:pt>
                <c:pt idx="19">
                  <c:v>0.8809232474400241</c:v>
                </c:pt>
                <c:pt idx="20">
                  <c:v>1.2874623890760954</c:v>
                </c:pt>
                <c:pt idx="21">
                  <c:v>1.9022630628081367</c:v>
                </c:pt>
                <c:pt idx="22">
                  <c:v>2.4609136089008006</c:v>
                </c:pt>
                <c:pt idx="23">
                  <c:v>2.0111540059778354</c:v>
                </c:pt>
                <c:pt idx="24">
                  <c:v>-0.2626908516468479</c:v>
                </c:pt>
              </c:numCache>
            </c:numRef>
          </c:val>
          <c:smooth val="1"/>
        </c:ser>
        <c:axId val="58919119"/>
        <c:axId val="60510024"/>
      </c:lineChart>
      <c:catAx>
        <c:axId val="58919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10024"/>
        <c:crosses val="autoZero"/>
        <c:auto val="0"/>
        <c:lblOffset val="100"/>
        <c:noMultiLvlLbl val="0"/>
      </c:catAx>
      <c:valAx>
        <c:axId val="60510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191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5"/>
          <c:y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Траектория точки 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95"/>
          <c:w val="0.83875"/>
          <c:h val="0.80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расчет!$B$81:$Z$81</c:f>
              <c:numCache>
                <c:ptCount val="25"/>
                <c:pt idx="0">
                  <c:v>3.59573090371413</c:v>
                </c:pt>
                <c:pt idx="1">
                  <c:v>3.8337916814999025</c:v>
                </c:pt>
                <c:pt idx="2">
                  <c:v>3.9864474653176383</c:v>
                </c:pt>
                <c:pt idx="3">
                  <c:v>4.049667500285296</c:v>
                </c:pt>
                <c:pt idx="4">
                  <c:v>4.040345674868727</c:v>
                </c:pt>
                <c:pt idx="5">
                  <c:v>3.9787616734759954</c:v>
                </c:pt>
                <c:pt idx="6">
                  <c:v>3.8813469990177394</c:v>
                </c:pt>
                <c:pt idx="7">
                  <c:v>3.759917363615631</c:v>
                </c:pt>
                <c:pt idx="8">
                  <c:v>3.622979964267419</c:v>
                </c:pt>
                <c:pt idx="9">
                  <c:v>3.4771552917196025</c:v>
                </c:pt>
                <c:pt idx="10">
                  <c:v>3.3281563407292687</c:v>
                </c:pt>
                <c:pt idx="11">
                  <c:v>3.181281946835723</c:v>
                </c:pt>
                <c:pt idx="12">
                  <c:v>3.0415396758047755</c:v>
                </c:pt>
                <c:pt idx="13">
                  <c:v>2.9135704384237586</c:v>
                </c:pt>
                <c:pt idx="14">
                  <c:v>2.80155929905086</c:v>
                </c:pt>
                <c:pt idx="15">
                  <c:v>2.709282960202481</c:v>
                </c:pt>
                <c:pt idx="16">
                  <c:v>2.6403775328023693</c:v>
                </c:pt>
                <c:pt idx="17">
                  <c:v>2.5988451908784427</c:v>
                </c:pt>
                <c:pt idx="18">
                  <c:v>2.589774377605899</c:v>
                </c:pt>
                <c:pt idx="19">
                  <c:v>2.6201824382612857</c:v>
                </c:pt>
                <c:pt idx="20">
                  <c:v>2.699631382202435</c:v>
                </c:pt>
                <c:pt idx="21">
                  <c:v>2.8394065164070845</c:v>
                </c:pt>
                <c:pt idx="22">
                  <c:v>3.0471461198166483</c:v>
                </c:pt>
                <c:pt idx="23">
                  <c:v>3.3131409588919287</c:v>
                </c:pt>
                <c:pt idx="24">
                  <c:v>3.59573090371413</c:v>
                </c:pt>
              </c:numCache>
            </c:numRef>
          </c:xVal>
          <c:yVal>
            <c:numRef>
              <c:f>расчет!$B$82:$Z$82</c:f>
              <c:numCache>
                <c:ptCount val="25"/>
                <c:pt idx="0">
                  <c:v>-0.7002146146970816</c:v>
                </c:pt>
                <c:pt idx="1">
                  <c:v>-0.28788125228275874</c:v>
                </c:pt>
                <c:pt idx="2">
                  <c:v>-0.023473678641189544</c:v>
                </c:pt>
                <c:pt idx="3">
                  <c:v>0.08602663397907317</c:v>
                </c:pt>
                <c:pt idx="4">
                  <c:v>0.06988075873828858</c:v>
                </c:pt>
                <c:pt idx="5">
                  <c:v>-0.036785860607316145</c:v>
                </c:pt>
                <c:pt idx="6">
                  <c:v>-0.20551302617179612</c:v>
                </c:pt>
                <c:pt idx="7">
                  <c:v>-0.415835324232809</c:v>
                </c:pt>
                <c:pt idx="8">
                  <c:v>-0.6530178573602634</c:v>
                </c:pt>
                <c:pt idx="9">
                  <c:v>-0.9055935992101767</c:v>
                </c:pt>
                <c:pt idx="10">
                  <c:v>-1.1636673525998988</c:v>
                </c:pt>
                <c:pt idx="11">
                  <c:v>-1.4180612651544053</c:v>
                </c:pt>
                <c:pt idx="12">
                  <c:v>-1.660101978545065</c:v>
                </c:pt>
                <c:pt idx="13">
                  <c:v>-1.88175119949483</c:v>
                </c:pt>
                <c:pt idx="14">
                  <c:v>-2.0757601839023665</c:v>
                </c:pt>
                <c:pt idx="15">
                  <c:v>-2.2355874911242024</c:v>
                </c:pt>
                <c:pt idx="16">
                  <c:v>-2.354935192298446</c:v>
                </c:pt>
                <c:pt idx="17">
                  <c:v>-2.4268713186680078</c:v>
                </c:pt>
                <c:pt idx="18">
                  <c:v>-2.442582428122026</c:v>
                </c:pt>
                <c:pt idx="19">
                  <c:v>-2.3899141221072595</c:v>
                </c:pt>
                <c:pt idx="20">
                  <c:v>-2.2523045145934963</c:v>
                </c:pt>
                <c:pt idx="21">
                  <c:v>-2.010206880516284</c:v>
                </c:pt>
                <c:pt idx="22">
                  <c:v>-1.6503913326667128</c:v>
                </c:pt>
                <c:pt idx="23">
                  <c:v>-1.189674756837221</c:v>
                </c:pt>
                <c:pt idx="24">
                  <c:v>-0.7002146146970816</c:v>
                </c:pt>
              </c:numCache>
            </c:numRef>
          </c:yVal>
          <c:smooth val="1"/>
        </c:ser>
        <c:axId val="7719305"/>
        <c:axId val="2364882"/>
      </c:scatterChart>
      <c:valAx>
        <c:axId val="771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882"/>
        <c:crosses val="autoZero"/>
        <c:crossBetween val="midCat"/>
        <c:dispUnits/>
      </c:valAx>
      <c:valAx>
        <c:axId val="236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19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угловые величины шатуна 1</a:t>
            </a:r>
          </a:p>
        </c:rich>
      </c:tx>
      <c:layout>
        <c:manualLayout>
          <c:xMode val="factor"/>
          <c:yMode val="factor"/>
          <c:x val="-0.020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8035"/>
          <c:h val="0.6935"/>
        </c:manualLayout>
      </c:layout>
      <c:lineChart>
        <c:grouping val="standard"/>
        <c:varyColors val="0"/>
        <c:ser>
          <c:idx val="0"/>
          <c:order val="0"/>
          <c:tx>
            <c:v>Psi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расчет!$B$37:$IV$37</c:f>
              <c:numCache>
                <c:ptCount val="25"/>
                <c:pt idx="0">
                  <c:v>1.80287400965761</c:v>
                </c:pt>
                <c:pt idx="1">
                  <c:v>1.6477572645909118</c:v>
                </c:pt>
                <c:pt idx="2">
                  <c:v>1.5436067370541988</c:v>
                </c:pt>
                <c:pt idx="3">
                  <c:v>1.4995256988134351</c:v>
                </c:pt>
                <c:pt idx="4">
                  <c:v>1.506057077573236</c:v>
                </c:pt>
                <c:pt idx="5">
                  <c:v>1.5489302563829195</c:v>
                </c:pt>
                <c:pt idx="6">
                  <c:v>1.61568267014002</c:v>
                </c:pt>
                <c:pt idx="7">
                  <c:v>1.6968792577702987</c:v>
                </c:pt>
                <c:pt idx="8">
                  <c:v>1.785589921891627</c:v>
                </c:pt>
                <c:pt idx="9">
                  <c:v>1.8766699453498652</c:v>
                </c:pt>
                <c:pt idx="10">
                  <c:v>1.9662196510038077</c:v>
                </c:pt>
                <c:pt idx="11">
                  <c:v>2.0512367253905808</c:v>
                </c:pt>
                <c:pt idx="12">
                  <c:v>2.129396892137697</c:v>
                </c:pt>
                <c:pt idx="13">
                  <c:v>2.1988957615400375</c:v>
                </c:pt>
                <c:pt idx="14">
                  <c:v>2.258298474748981</c:v>
                </c:pt>
                <c:pt idx="15">
                  <c:v>2.306360642316892</c:v>
                </c:pt>
                <c:pt idx="16">
                  <c:v>2.3417983176258805</c:v>
                </c:pt>
                <c:pt idx="17">
                  <c:v>2.362991428573922</c:v>
                </c:pt>
                <c:pt idx="18">
                  <c:v>2.3676045778826316</c:v>
                </c:pt>
                <c:pt idx="19">
                  <c:v>2.352118302007489</c:v>
                </c:pt>
                <c:pt idx="20">
                  <c:v>2.3113464205012386</c:v>
                </c:pt>
                <c:pt idx="21">
                  <c:v>2.2383648033048593</c:v>
                </c:pt>
                <c:pt idx="22">
                  <c:v>2.126308607499469</c:v>
                </c:pt>
                <c:pt idx="23">
                  <c:v>1.9750549651769038</c:v>
                </c:pt>
                <c:pt idx="24">
                  <c:v>1.80287400965761</c:v>
                </c:pt>
              </c:numCache>
            </c:numRef>
          </c:val>
          <c:smooth val="1"/>
        </c:ser>
        <c:ser>
          <c:idx val="1"/>
          <c:order val="1"/>
          <c:tx>
            <c:v>PsiT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расчет!$B$38:$Z$38</c:f>
              <c:numCache>
                <c:ptCount val="25"/>
                <c:pt idx="0">
                  <c:v>-0.6521739130434784</c:v>
                </c:pt>
                <c:pt idx="1">
                  <c:v>-0.6371028185380684</c:v>
                </c:pt>
                <c:pt idx="2">
                  <c:v>-0.5071236699389645</c:v>
                </c:pt>
                <c:pt idx="3">
                  <c:v>-0.34988145981771274</c:v>
                </c:pt>
                <c:pt idx="4">
                  <c:v>-0.21242424481484348</c:v>
                </c:pt>
                <c:pt idx="5">
                  <c:v>-0.10354185116476737</c:v>
                </c:pt>
                <c:pt idx="6">
                  <c:v>-0.018050236889644144</c:v>
                </c:pt>
                <c:pt idx="7">
                  <c:v>0.05108513566849834</c:v>
                </c:pt>
                <c:pt idx="8">
                  <c:v>0.1093617472480454</c:v>
                </c:pt>
                <c:pt idx="9">
                  <c:v>0.1603547775995713</c:v>
                </c:pt>
                <c:pt idx="10">
                  <c:v>0.20601447998025776</c:v>
                </c:pt>
                <c:pt idx="11">
                  <c:v>0.2470111352688866</c:v>
                </c:pt>
                <c:pt idx="12">
                  <c:v>0.28301886792452835</c:v>
                </c:pt>
                <c:pt idx="13">
                  <c:v>0.31294135637421416</c:v>
                </c:pt>
                <c:pt idx="14">
                  <c:v>0.3350711486920055</c:v>
                </c:pt>
                <c:pt idx="15">
                  <c:v>0.3471402134334598</c:v>
                </c:pt>
                <c:pt idx="16">
                  <c:v>0.34619877084038686</c:v>
                </c:pt>
                <c:pt idx="17">
                  <c:v>0.3282597402307407</c:v>
                </c:pt>
                <c:pt idx="18">
                  <c:v>0.28767276534979996</c:v>
                </c:pt>
                <c:pt idx="19">
                  <c:v>0.21631648425680322</c:v>
                </c:pt>
                <c:pt idx="20">
                  <c:v>0.10323407193040306</c:v>
                </c:pt>
                <c:pt idx="21">
                  <c:v>-0.06279955156122789</c:v>
                </c:pt>
                <c:pt idx="22">
                  <c:v>-0.2809715304232293</c:v>
                </c:pt>
                <c:pt idx="23">
                  <c:v>-0.5096114235214754</c:v>
                </c:pt>
                <c:pt idx="24">
                  <c:v>-0.6521739130434784</c:v>
                </c:pt>
              </c:numCache>
            </c:numRef>
          </c:val>
          <c:smooth val="1"/>
        </c:ser>
        <c:ser>
          <c:idx val="2"/>
          <c:order val="2"/>
          <c:tx>
            <c:v>PsiTT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расчет!$B$42:$IV$42</c:f>
              <c:numCache>
                <c:ptCount val="25"/>
                <c:pt idx="0">
                  <c:v>-0.25465317854532843</c:v>
                </c:pt>
                <c:pt idx="1">
                  <c:v>0.33538154209713983</c:v>
                </c:pt>
                <c:pt idx="2">
                  <c:v>0.5954792333857327</c:v>
                </c:pt>
                <c:pt idx="3">
                  <c:v>0.5770224448698265</c:v>
                </c:pt>
                <c:pt idx="4">
                  <c:v>0.46922756446219577</c:v>
                </c:pt>
                <c:pt idx="5">
                  <c:v>0.366562621000652</c:v>
                </c:pt>
                <c:pt idx="6">
                  <c:v>0.29118676995447834</c:v>
                </c:pt>
                <c:pt idx="7">
                  <c:v>0.24047545562926903</c:v>
                </c:pt>
                <c:pt idx="8">
                  <c:v>0.20697794853433074</c:v>
                </c:pt>
                <c:pt idx="9">
                  <c:v>0.18379922937809146</c:v>
                </c:pt>
                <c:pt idx="10">
                  <c:v>0.16542402097755657</c:v>
                </c:pt>
                <c:pt idx="11">
                  <c:v>0.14754547321574527</c:v>
                </c:pt>
                <c:pt idx="12">
                  <c:v>0.12682484543271005</c:v>
                </c:pt>
                <c:pt idx="13">
                  <c:v>0.1006753053640314</c:v>
                </c:pt>
                <c:pt idx="14">
                  <c:v>0.06694709881156378</c:v>
                </c:pt>
                <c:pt idx="15">
                  <c:v>0.023398089039717893</c:v>
                </c:pt>
                <c:pt idx="16">
                  <c:v>-0.033088242292318465</c:v>
                </c:pt>
                <c:pt idx="17">
                  <c:v>-0.10749759801843302</c:v>
                </c:pt>
                <c:pt idx="18">
                  <c:v>-0.20769298891635574</c:v>
                </c:pt>
                <c:pt idx="19">
                  <c:v>-0.3445081458425133</c:v>
                </c:pt>
                <c:pt idx="20">
                  <c:v>-0.5271955736400938</c:v>
                </c:pt>
                <c:pt idx="21">
                  <c:v>-0.7426749613154954</c:v>
                </c:pt>
                <c:pt idx="22">
                  <c:v>-0.8995594327079838</c:v>
                </c:pt>
                <c:pt idx="23">
                  <c:v>-0.7800575257140033</c:v>
                </c:pt>
                <c:pt idx="24">
                  <c:v>-0.25465317854532843</c:v>
                </c:pt>
              </c:numCache>
            </c:numRef>
          </c:val>
          <c:smooth val="1"/>
        </c:ser>
        <c:axId val="21283939"/>
        <c:axId val="57337724"/>
      </c:lineChart>
      <c:catAx>
        <c:axId val="21283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37724"/>
        <c:crosses val="autoZero"/>
        <c:auto val="0"/>
        <c:lblOffset val="100"/>
        <c:noMultiLvlLbl val="0"/>
      </c:catAx>
      <c:valAx>
        <c:axId val="57337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83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1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угловые параметры шатуна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45"/>
          <c:w val="0.931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расчет!$A$75</c:f>
              <c:strCache>
                <c:ptCount val="1"/>
                <c:pt idx="0">
                  <c:v>θ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расчет!$B$75:$IV$75</c:f>
              <c:numCache>
                <c:ptCount val="25"/>
                <c:pt idx="0">
                  <c:v>1.0650562897340665</c:v>
                </c:pt>
                <c:pt idx="1">
                  <c:v>0.9834418813060167</c:v>
                </c:pt>
                <c:pt idx="2">
                  <c:v>0.9207015078756062</c:v>
                </c:pt>
                <c:pt idx="3">
                  <c:v>0.8923253062648219</c:v>
                </c:pt>
                <c:pt idx="4">
                  <c:v>0.8965966639983524</c:v>
                </c:pt>
                <c:pt idx="5">
                  <c:v>0.9240562033250811</c:v>
                </c:pt>
                <c:pt idx="6">
                  <c:v>0.9647768302014412</c:v>
                </c:pt>
                <c:pt idx="7">
                  <c:v>1.0108629771221447</c:v>
                </c:pt>
                <c:pt idx="8">
                  <c:v>1.056696000913562</c:v>
                </c:pt>
                <c:pt idx="9">
                  <c:v>1.0985845231741591</c:v>
                </c:pt>
                <c:pt idx="10">
                  <c:v>1.1343820329357526</c:v>
                </c:pt>
                <c:pt idx="11">
                  <c:v>1.1631679537474326</c:v>
                </c:pt>
                <c:pt idx="12">
                  <c:v>1.1849633785855904</c:v>
                </c:pt>
                <c:pt idx="13">
                  <c:v>1.200452635561081</c:v>
                </c:pt>
                <c:pt idx="14">
                  <c:v>1.210712014454379</c:v>
                </c:pt>
                <c:pt idx="15">
                  <c:v>1.2169667605187187</c:v>
                </c:pt>
                <c:pt idx="16">
                  <c:v>1.2203932908318744</c:v>
                </c:pt>
                <c:pt idx="17">
                  <c:v>1.2219587400039422</c:v>
                </c:pt>
                <c:pt idx="18">
                  <c:v>1.2222513728051556</c:v>
                </c:pt>
                <c:pt idx="19">
                  <c:v>1.2212009149694822</c:v>
                </c:pt>
                <c:pt idx="20">
                  <c:v>1.2175098710894807</c:v>
                </c:pt>
                <c:pt idx="21">
                  <c:v>1.207579064110318</c:v>
                </c:pt>
                <c:pt idx="22">
                  <c:v>1.1841892152673366</c:v>
                </c:pt>
                <c:pt idx="23">
                  <c:v>1.1376136523836813</c:v>
                </c:pt>
                <c:pt idx="24">
                  <c:v>1.0650562897340665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расчет!$A$77</c:f>
              <c:strCache>
                <c:ptCount val="1"/>
                <c:pt idx="0">
                  <c:v>θt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расчет!$B$77:$Z$77</c:f>
              <c:numCache>
                <c:ptCount val="25"/>
                <c:pt idx="0">
                  <c:v>-0.31187553595763023</c:v>
                </c:pt>
                <c:pt idx="1">
                  <c:v>-0.29182817676102996</c:v>
                </c:pt>
                <c:pt idx="2">
                  <c:v>-0.17747166896255873</c:v>
                </c:pt>
                <c:pt idx="3">
                  <c:v>-0.04118059977181704</c:v>
                </c:pt>
                <c:pt idx="4">
                  <c:v>0.06732942438366049</c:v>
                </c:pt>
                <c:pt idx="5">
                  <c:v>0.1359966625007242</c:v>
                </c:pt>
                <c:pt idx="6">
                  <c:v>0.17005801234407597</c:v>
                </c:pt>
                <c:pt idx="7">
                  <c:v>0.1784635785426474</c:v>
                </c:pt>
                <c:pt idx="8">
                  <c:v>0.16934968650613472</c:v>
                </c:pt>
                <c:pt idx="9">
                  <c:v>0.1493084252435242</c:v>
                </c:pt>
                <c:pt idx="10">
                  <c:v>0.12359614858277551</c:v>
                </c:pt>
                <c:pt idx="11">
                  <c:v>0.09634327621908423</c:v>
                </c:pt>
                <c:pt idx="12">
                  <c:v>0.07061466445751495</c:v>
                </c:pt>
                <c:pt idx="13">
                  <c:v>0.04841538683008086</c:v>
                </c:pt>
                <c:pt idx="14">
                  <c:v>0.0307530470857419</c:v>
                </c:pt>
                <c:pt idx="15">
                  <c:v>0.01778843593522546</c:v>
                </c:pt>
                <c:pt idx="16">
                  <c:v>0.009013946607276955</c:v>
                </c:pt>
                <c:pt idx="17">
                  <c:v>0.0033359013721413265</c:v>
                </c:pt>
                <c:pt idx="18">
                  <c:v>-0.0011113142576593784</c:v>
                </c:pt>
                <c:pt idx="19">
                  <c:v>-0.007671556446373652</c:v>
                </c:pt>
                <c:pt idx="20">
                  <c:v>-0.02271484970881192</c:v>
                </c:pt>
                <c:pt idx="21">
                  <c:v>-0.0577469485422405</c:v>
                </c:pt>
                <c:pt idx="22">
                  <c:v>-0.12771871773107124</c:v>
                </c:pt>
                <c:pt idx="23">
                  <c:v>-0.2310472351871163</c:v>
                </c:pt>
                <c:pt idx="24">
                  <c:v>-0.3118755359576304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расчет!$A$78</c:f>
              <c:strCache>
                <c:ptCount val="1"/>
                <c:pt idx="0">
                  <c:v>θtt =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расчет!$B$13:$Z$13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расчет!$B$78:$IV$78</c:f>
              <c:numCache>
                <c:ptCount val="25"/>
                <c:pt idx="0">
                  <c:v>-0.1493343050248371</c:v>
                </c:pt>
                <c:pt idx="1">
                  <c:v>0.29557679447749385</c:v>
                </c:pt>
                <c:pt idx="2">
                  <c:v>0.5246065147462912</c:v>
                </c:pt>
                <c:pt idx="3">
                  <c:v>0.48486873295260075</c:v>
                </c:pt>
                <c:pt idx="4">
                  <c:v>0.3380458077137636</c:v>
                </c:pt>
                <c:pt idx="5">
                  <c:v>0.19069246588721278</c:v>
                </c:pt>
                <c:pt idx="6">
                  <c:v>0.0754481004136423</c:v>
                </c:pt>
                <c:pt idx="7">
                  <c:v>-0.006031445682850872</c:v>
                </c:pt>
                <c:pt idx="8">
                  <c:v>-0.05941697315507307</c:v>
                </c:pt>
                <c:pt idx="9">
                  <c:v>-0.09035470825277185</c:v>
                </c:pt>
                <c:pt idx="10">
                  <c:v>-0.10344578411753523</c:v>
                </c:pt>
                <c:pt idx="11">
                  <c:v>-0.10279889577555383</c:v>
                </c:pt>
                <c:pt idx="12">
                  <c:v>-0.09248041845279907</c:v>
                </c:pt>
                <c:pt idx="13">
                  <c:v>-0.07647831440206349</c:v>
                </c:pt>
                <c:pt idx="14">
                  <c:v>-0.05836217923445055</c:v>
                </c:pt>
                <c:pt idx="15">
                  <c:v>-0.041010053838398085</c:v>
                </c:pt>
                <c:pt idx="16">
                  <c:v>-0.02670873463535733</c:v>
                </c:pt>
                <c:pt idx="17">
                  <c:v>-0.01781446509343598</c:v>
                </c:pt>
                <c:pt idx="18">
                  <c:v>-0.018191457559831443</c:v>
                </c:pt>
                <c:pt idx="19">
                  <c:v>-0.035820704210016444</c:v>
                </c:pt>
                <c:pt idx="20">
                  <c:v>-0.08639648772776372</c:v>
                </c:pt>
                <c:pt idx="21">
                  <c:v>-0.1918240398088352</c:v>
                </c:pt>
                <c:pt idx="22">
                  <c:v>-0.34504975498252183</c:v>
                </c:pt>
                <c:pt idx="23">
                  <c:v>-0.40771974464628347</c:v>
                </c:pt>
                <c:pt idx="24">
                  <c:v>-0.14933430502483727</c:v>
                </c:pt>
              </c:numCache>
            </c:numRef>
          </c:val>
          <c:smooth val="1"/>
        </c:ser>
        <c:axId val="46277469"/>
        <c:axId val="13844038"/>
      </c:lineChart>
      <c:catAx>
        <c:axId val="4627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 ОА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44038"/>
        <c:crosses val="autoZero"/>
        <c:auto val="0"/>
        <c:lblOffset val="100"/>
        <c:noMultiLvlLbl val="0"/>
      </c:catAx>
      <c:valAx>
        <c:axId val="13844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2774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75"/>
          <c:y val="0.3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0.5025</cdr:y>
    </cdr:from>
    <cdr:to>
      <cdr:x>0.5185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428750"/>
          <a:ext cx="152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7</xdr:col>
      <xdr:colOff>628650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71450" y="85725"/>
        <a:ext cx="52578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26</xdr:row>
      <xdr:rowOff>57150</xdr:rowOff>
    </xdr:from>
    <xdr:to>
      <xdr:col>8</xdr:col>
      <xdr:colOff>76200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304800" y="4267200"/>
        <a:ext cx="5257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0</xdr:row>
      <xdr:rowOff>28575</xdr:rowOff>
    </xdr:from>
    <xdr:to>
      <xdr:col>16</xdr:col>
      <xdr:colOff>19050</xdr:colOff>
      <xdr:row>16</xdr:row>
      <xdr:rowOff>95250</xdr:rowOff>
    </xdr:to>
    <xdr:graphicFrame>
      <xdr:nvGraphicFramePr>
        <xdr:cNvPr id="3" name="Chart 4"/>
        <xdr:cNvGraphicFramePr/>
      </xdr:nvGraphicFramePr>
      <xdr:xfrm>
        <a:off x="6362700" y="28575"/>
        <a:ext cx="46291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35</xdr:row>
      <xdr:rowOff>28575</xdr:rowOff>
    </xdr:from>
    <xdr:to>
      <xdr:col>17</xdr:col>
      <xdr:colOff>419100</xdr:colOff>
      <xdr:row>55</xdr:row>
      <xdr:rowOff>9525</xdr:rowOff>
    </xdr:to>
    <xdr:graphicFrame>
      <xdr:nvGraphicFramePr>
        <xdr:cNvPr id="4" name="Chart 5"/>
        <xdr:cNvGraphicFramePr/>
      </xdr:nvGraphicFramePr>
      <xdr:xfrm>
        <a:off x="6334125" y="5695950"/>
        <a:ext cx="57435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60</xdr:row>
      <xdr:rowOff>123825</xdr:rowOff>
    </xdr:from>
    <xdr:to>
      <xdr:col>7</xdr:col>
      <xdr:colOff>419100</xdr:colOff>
      <xdr:row>79</xdr:row>
      <xdr:rowOff>114300</xdr:rowOff>
    </xdr:to>
    <xdr:graphicFrame>
      <xdr:nvGraphicFramePr>
        <xdr:cNvPr id="5" name="Chart 6"/>
        <xdr:cNvGraphicFramePr/>
      </xdr:nvGraphicFramePr>
      <xdr:xfrm>
        <a:off x="247650" y="9839325"/>
        <a:ext cx="497205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82</xdr:row>
      <xdr:rowOff>133350</xdr:rowOff>
    </xdr:from>
    <xdr:to>
      <xdr:col>8</xdr:col>
      <xdr:colOff>476250</xdr:colOff>
      <xdr:row>102</xdr:row>
      <xdr:rowOff>152400</xdr:rowOff>
    </xdr:to>
    <xdr:graphicFrame>
      <xdr:nvGraphicFramePr>
        <xdr:cNvPr id="6" name="Chart 7"/>
        <xdr:cNvGraphicFramePr/>
      </xdr:nvGraphicFramePr>
      <xdr:xfrm>
        <a:off x="0" y="13411200"/>
        <a:ext cx="596265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438150</xdr:colOff>
      <xdr:row>96</xdr:row>
      <xdr:rowOff>95250</xdr:rowOff>
    </xdr:from>
    <xdr:to>
      <xdr:col>16</xdr:col>
      <xdr:colOff>57150</xdr:colOff>
      <xdr:row>111</xdr:row>
      <xdr:rowOff>19050</xdr:rowOff>
    </xdr:to>
    <xdr:graphicFrame>
      <xdr:nvGraphicFramePr>
        <xdr:cNvPr id="7" name="Chart 8"/>
        <xdr:cNvGraphicFramePr/>
      </xdr:nvGraphicFramePr>
      <xdr:xfrm>
        <a:off x="7981950" y="15640050"/>
        <a:ext cx="304800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16</xdr:row>
      <xdr:rowOff>133350</xdr:rowOff>
    </xdr:from>
    <xdr:to>
      <xdr:col>17</xdr:col>
      <xdr:colOff>57150</xdr:colOff>
      <xdr:row>34</xdr:row>
      <xdr:rowOff>76200</xdr:rowOff>
    </xdr:to>
    <xdr:graphicFrame>
      <xdr:nvGraphicFramePr>
        <xdr:cNvPr id="8" name="Chart 9"/>
        <xdr:cNvGraphicFramePr/>
      </xdr:nvGraphicFramePr>
      <xdr:xfrm>
        <a:off x="6353175" y="2724150"/>
        <a:ext cx="536257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333375</xdr:colOff>
      <xdr:row>56</xdr:row>
      <xdr:rowOff>152400</xdr:rowOff>
    </xdr:from>
    <xdr:to>
      <xdr:col>17</xdr:col>
      <xdr:colOff>352425</xdr:colOff>
      <xdr:row>76</xdr:row>
      <xdr:rowOff>114300</xdr:rowOff>
    </xdr:to>
    <xdr:graphicFrame>
      <xdr:nvGraphicFramePr>
        <xdr:cNvPr id="9" name="Chart 10"/>
        <xdr:cNvGraphicFramePr/>
      </xdr:nvGraphicFramePr>
      <xdr:xfrm>
        <a:off x="6505575" y="9220200"/>
        <a:ext cx="5505450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285750</xdr:colOff>
      <xdr:row>77</xdr:row>
      <xdr:rowOff>152400</xdr:rowOff>
    </xdr:from>
    <xdr:to>
      <xdr:col>17</xdr:col>
      <xdr:colOff>476250</xdr:colOff>
      <xdr:row>95</xdr:row>
      <xdr:rowOff>123825</xdr:rowOff>
    </xdr:to>
    <xdr:graphicFrame>
      <xdr:nvGraphicFramePr>
        <xdr:cNvPr id="10" name="Chart 11"/>
        <xdr:cNvGraphicFramePr/>
      </xdr:nvGraphicFramePr>
      <xdr:xfrm>
        <a:off x="6457950" y="12620625"/>
        <a:ext cx="5676900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161925</xdr:colOff>
      <xdr:row>112</xdr:row>
      <xdr:rowOff>152400</xdr:rowOff>
    </xdr:from>
    <xdr:to>
      <xdr:col>8</xdr:col>
      <xdr:colOff>504825</xdr:colOff>
      <xdr:row>134</xdr:row>
      <xdr:rowOff>66675</xdr:rowOff>
    </xdr:to>
    <xdr:graphicFrame>
      <xdr:nvGraphicFramePr>
        <xdr:cNvPr id="11" name="Chart 13"/>
        <xdr:cNvGraphicFramePr/>
      </xdr:nvGraphicFramePr>
      <xdr:xfrm>
        <a:off x="161925" y="18288000"/>
        <a:ext cx="5829300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161925</xdr:colOff>
      <xdr:row>135</xdr:row>
      <xdr:rowOff>47625</xdr:rowOff>
    </xdr:from>
    <xdr:to>
      <xdr:col>8</xdr:col>
      <xdr:colOff>485775</xdr:colOff>
      <xdr:row>163</xdr:row>
      <xdr:rowOff>133350</xdr:rowOff>
    </xdr:to>
    <xdr:graphicFrame>
      <xdr:nvGraphicFramePr>
        <xdr:cNvPr id="12" name="Chart 14"/>
        <xdr:cNvGraphicFramePr/>
      </xdr:nvGraphicFramePr>
      <xdr:xfrm>
        <a:off x="161925" y="21907500"/>
        <a:ext cx="5810250" cy="4619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168</xdr:row>
      <xdr:rowOff>123825</xdr:rowOff>
    </xdr:from>
    <xdr:to>
      <xdr:col>8</xdr:col>
      <xdr:colOff>666750</xdr:colOff>
      <xdr:row>208</xdr:row>
      <xdr:rowOff>19050</xdr:rowOff>
    </xdr:to>
    <xdr:graphicFrame>
      <xdr:nvGraphicFramePr>
        <xdr:cNvPr id="13" name="Chart 15"/>
        <xdr:cNvGraphicFramePr/>
      </xdr:nvGraphicFramePr>
      <xdr:xfrm>
        <a:off x="9525" y="27327225"/>
        <a:ext cx="61436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85725</xdr:colOff>
      <xdr:row>168</xdr:row>
      <xdr:rowOff>123825</xdr:rowOff>
    </xdr:from>
    <xdr:to>
      <xdr:col>17</xdr:col>
      <xdr:colOff>581025</xdr:colOff>
      <xdr:row>208</xdr:row>
      <xdr:rowOff>19050</xdr:rowOff>
    </xdr:to>
    <xdr:graphicFrame>
      <xdr:nvGraphicFramePr>
        <xdr:cNvPr id="14" name="Chart 16"/>
        <xdr:cNvGraphicFramePr/>
      </xdr:nvGraphicFramePr>
      <xdr:xfrm>
        <a:off x="6257925" y="27327225"/>
        <a:ext cx="5981700" cy="6372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95250</xdr:colOff>
      <xdr:row>225</xdr:row>
      <xdr:rowOff>114300</xdr:rowOff>
    </xdr:from>
    <xdr:to>
      <xdr:col>8</xdr:col>
      <xdr:colOff>561975</xdr:colOff>
      <xdr:row>252</xdr:row>
      <xdr:rowOff>38100</xdr:rowOff>
    </xdr:to>
    <xdr:graphicFrame>
      <xdr:nvGraphicFramePr>
        <xdr:cNvPr id="15" name="Chart 17"/>
        <xdr:cNvGraphicFramePr/>
      </xdr:nvGraphicFramePr>
      <xdr:xfrm>
        <a:off x="95250" y="36547425"/>
        <a:ext cx="5953125" cy="4295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152400</xdr:colOff>
      <xdr:row>225</xdr:row>
      <xdr:rowOff>47625</xdr:rowOff>
    </xdr:from>
    <xdr:to>
      <xdr:col>17</xdr:col>
      <xdr:colOff>304800</xdr:colOff>
      <xdr:row>247</xdr:row>
      <xdr:rowOff>95250</xdr:rowOff>
    </xdr:to>
    <xdr:graphicFrame>
      <xdr:nvGraphicFramePr>
        <xdr:cNvPr id="16" name="Chart 18"/>
        <xdr:cNvGraphicFramePr/>
      </xdr:nvGraphicFramePr>
      <xdr:xfrm>
        <a:off x="6324600" y="36480750"/>
        <a:ext cx="5638800" cy="3609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190500</xdr:colOff>
      <xdr:row>251</xdr:row>
      <xdr:rowOff>0</xdr:rowOff>
    </xdr:from>
    <xdr:to>
      <xdr:col>17</xdr:col>
      <xdr:colOff>333375</xdr:colOff>
      <xdr:row>273</xdr:row>
      <xdr:rowOff>47625</xdr:rowOff>
    </xdr:to>
    <xdr:graphicFrame>
      <xdr:nvGraphicFramePr>
        <xdr:cNvPr id="17" name="Chart 19"/>
        <xdr:cNvGraphicFramePr/>
      </xdr:nvGraphicFramePr>
      <xdr:xfrm>
        <a:off x="6362700" y="40643175"/>
        <a:ext cx="5629275" cy="3609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447675</xdr:colOff>
      <xdr:row>112</xdr:row>
      <xdr:rowOff>133350</xdr:rowOff>
    </xdr:from>
    <xdr:to>
      <xdr:col>17</xdr:col>
      <xdr:colOff>514350</xdr:colOff>
      <xdr:row>135</xdr:row>
      <xdr:rowOff>133350</xdr:rowOff>
    </xdr:to>
    <xdr:graphicFrame>
      <xdr:nvGraphicFramePr>
        <xdr:cNvPr id="18" name="Chart 20"/>
        <xdr:cNvGraphicFramePr/>
      </xdr:nvGraphicFramePr>
      <xdr:xfrm>
        <a:off x="6619875" y="18268950"/>
        <a:ext cx="5553075" cy="37242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581025</xdr:colOff>
      <xdr:row>138</xdr:row>
      <xdr:rowOff>19050</xdr:rowOff>
    </xdr:from>
    <xdr:to>
      <xdr:col>17</xdr:col>
      <xdr:colOff>571500</xdr:colOff>
      <xdr:row>161</xdr:row>
      <xdr:rowOff>19050</xdr:rowOff>
    </xdr:to>
    <xdr:graphicFrame>
      <xdr:nvGraphicFramePr>
        <xdr:cNvPr id="19" name="Chart 21"/>
        <xdr:cNvGraphicFramePr/>
      </xdr:nvGraphicFramePr>
      <xdr:xfrm>
        <a:off x="6753225" y="22364700"/>
        <a:ext cx="5476875" cy="3724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171450</xdr:colOff>
      <xdr:row>283</xdr:row>
      <xdr:rowOff>76200</xdr:rowOff>
    </xdr:from>
    <xdr:to>
      <xdr:col>8</xdr:col>
      <xdr:colOff>457200</xdr:colOff>
      <xdr:row>306</xdr:row>
      <xdr:rowOff>76200</xdr:rowOff>
    </xdr:to>
    <xdr:graphicFrame>
      <xdr:nvGraphicFramePr>
        <xdr:cNvPr id="20" name="Chart 23"/>
        <xdr:cNvGraphicFramePr/>
      </xdr:nvGraphicFramePr>
      <xdr:xfrm>
        <a:off x="171450" y="45900975"/>
        <a:ext cx="5772150" cy="3724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200025</xdr:colOff>
      <xdr:row>309</xdr:row>
      <xdr:rowOff>76200</xdr:rowOff>
    </xdr:from>
    <xdr:to>
      <xdr:col>8</xdr:col>
      <xdr:colOff>504825</xdr:colOff>
      <xdr:row>332</xdr:row>
      <xdr:rowOff>76200</xdr:rowOff>
    </xdr:to>
    <xdr:graphicFrame>
      <xdr:nvGraphicFramePr>
        <xdr:cNvPr id="21" name="Chart 24"/>
        <xdr:cNvGraphicFramePr/>
      </xdr:nvGraphicFramePr>
      <xdr:xfrm>
        <a:off x="200025" y="50111025"/>
        <a:ext cx="5791200" cy="3724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42</xdr:row>
      <xdr:rowOff>114300</xdr:rowOff>
    </xdr:from>
    <xdr:to>
      <xdr:col>10</xdr:col>
      <xdr:colOff>161925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971550" y="6915150"/>
        <a:ext cx="6048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14</xdr:col>
      <xdr:colOff>95250</xdr:colOff>
      <xdr:row>40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1925"/>
          <a:ext cx="901065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94"/>
  <sheetViews>
    <sheetView tabSelected="1" workbookViewId="0" topLeftCell="A320">
      <selection activeCell="A323" sqref="A323"/>
    </sheetView>
  </sheetViews>
  <sheetFormatPr defaultColWidth="9.00390625" defaultRowHeight="12.75"/>
  <cols>
    <col min="2" max="2" width="10.25390625" style="0" bestFit="1" customWidth="1"/>
    <col min="27" max="255" width="9.125" style="107" hidden="1" customWidth="1"/>
    <col min="256" max="16384" width="7.125" style="107" hidden="1" customWidth="1"/>
  </cols>
  <sheetData>
    <row r="1" spans="1:3" ht="12.75">
      <c r="A1" s="101" t="s">
        <v>0</v>
      </c>
      <c r="B1" s="101"/>
      <c r="C1" s="101"/>
    </row>
    <row r="3" spans="1:19" ht="12.75">
      <c r="A3" t="s">
        <v>1</v>
      </c>
      <c r="B3" s="4">
        <v>0</v>
      </c>
      <c r="C3" t="s">
        <v>12</v>
      </c>
      <c r="D3" s="4">
        <v>7.6</v>
      </c>
      <c r="E3" t="s">
        <v>56</v>
      </c>
      <c r="F3" s="4">
        <v>4</v>
      </c>
      <c r="G3" t="s">
        <v>96</v>
      </c>
      <c r="H3" s="4">
        <v>2</v>
      </c>
      <c r="I3" t="s">
        <v>113</v>
      </c>
      <c r="J3" s="4">
        <v>-2</v>
      </c>
      <c r="K3" t="s">
        <v>127</v>
      </c>
      <c r="L3" s="4">
        <v>7</v>
      </c>
      <c r="N3" t="s">
        <v>160</v>
      </c>
      <c r="O3" s="5">
        <v>1</v>
      </c>
      <c r="P3" t="s">
        <v>167</v>
      </c>
      <c r="Q3" s="5">
        <v>1</v>
      </c>
      <c r="R3" t="s">
        <v>276</v>
      </c>
      <c r="S3">
        <v>1</v>
      </c>
    </row>
    <row r="4" spans="1:19" ht="12.75">
      <c r="A4" t="s">
        <v>2</v>
      </c>
      <c r="B4" s="4">
        <v>15</v>
      </c>
      <c r="C4" t="s">
        <v>13</v>
      </c>
      <c r="D4" s="4">
        <v>0</v>
      </c>
      <c r="E4" t="s">
        <v>57</v>
      </c>
      <c r="F4" s="4">
        <v>60</v>
      </c>
      <c r="G4" t="s">
        <v>97</v>
      </c>
      <c r="H4" s="4">
        <v>1</v>
      </c>
      <c r="I4" t="s">
        <v>114</v>
      </c>
      <c r="J4" s="4">
        <v>0</v>
      </c>
      <c r="K4" t="s">
        <v>128</v>
      </c>
      <c r="L4" s="4">
        <v>3</v>
      </c>
      <c r="N4" t="s">
        <v>161</v>
      </c>
      <c r="O4" s="5">
        <v>1</v>
      </c>
      <c r="P4" t="s">
        <v>168</v>
      </c>
      <c r="Q4" s="5">
        <v>1</v>
      </c>
      <c r="R4" t="s">
        <v>277</v>
      </c>
      <c r="S4">
        <v>1</v>
      </c>
    </row>
    <row r="5" spans="1:19" ht="12.75">
      <c r="A5" t="s">
        <v>212</v>
      </c>
      <c r="B5" s="4">
        <v>1</v>
      </c>
      <c r="C5" t="s">
        <v>8</v>
      </c>
      <c r="D5" s="4">
        <f>$B$7*COS(RADIANS($B$3))</f>
        <v>3</v>
      </c>
      <c r="E5" t="s">
        <v>71</v>
      </c>
      <c r="F5" s="4">
        <f>$D$10-$B$11*COS($B$75)</f>
        <v>3.59573090371413</v>
      </c>
      <c r="G5" t="s">
        <v>98</v>
      </c>
      <c r="H5" s="4">
        <f>$F$9+$H$3*COS($B$37)-$H$4*SIN($B$37)</f>
        <v>5.087242089580179</v>
      </c>
      <c r="I5" t="s">
        <v>121</v>
      </c>
      <c r="J5" s="4">
        <v>4</v>
      </c>
      <c r="K5" t="s">
        <v>129</v>
      </c>
      <c r="L5" s="4">
        <v>3</v>
      </c>
      <c r="N5" t="s">
        <v>162</v>
      </c>
      <c r="O5" s="5">
        <v>1</v>
      </c>
      <c r="P5" t="s">
        <v>169</v>
      </c>
      <c r="Q5" s="5">
        <v>1</v>
      </c>
      <c r="R5" t="s">
        <v>280</v>
      </c>
      <c r="S5" s="5">
        <v>10</v>
      </c>
    </row>
    <row r="6" spans="1:19" ht="12.75">
      <c r="A6" t="s">
        <v>23</v>
      </c>
      <c r="B6" s="4">
        <v>0</v>
      </c>
      <c r="C6" t="s">
        <v>9</v>
      </c>
      <c r="D6" s="4">
        <f>$B$7*SIN(RADIANS($B$3))</f>
        <v>0</v>
      </c>
      <c r="E6" t="s">
        <v>72</v>
      </c>
      <c r="F6" s="4">
        <f>$D$11-$B$11*SIN($B$75)</f>
        <v>-0.7002146146970816</v>
      </c>
      <c r="G6" t="s">
        <v>99</v>
      </c>
      <c r="H6" s="4">
        <f>$F$10+$H$3*SIN($B$37)+$H$4*COS($B$37)</f>
        <v>6.284315003843979</v>
      </c>
      <c r="I6" t="s">
        <v>122</v>
      </c>
      <c r="J6" s="4">
        <v>3</v>
      </c>
      <c r="K6" t="s">
        <v>130</v>
      </c>
      <c r="L6" s="4">
        <v>-0.5</v>
      </c>
      <c r="N6" t="s">
        <v>163</v>
      </c>
      <c r="O6" s="5">
        <v>1</v>
      </c>
      <c r="P6" t="s">
        <v>170</v>
      </c>
      <c r="Q6" s="5">
        <v>1</v>
      </c>
      <c r="S6" s="5"/>
    </row>
    <row r="7" spans="1:19" ht="12.75">
      <c r="A7" t="s">
        <v>3</v>
      </c>
      <c r="B7" s="4">
        <v>3</v>
      </c>
      <c r="C7" t="s">
        <v>10</v>
      </c>
      <c r="D7" s="4">
        <f>$D$5+$B$8*COS($B$36)</f>
        <v>5.299999999999998</v>
      </c>
      <c r="E7" t="s">
        <v>77</v>
      </c>
      <c r="F7" s="4">
        <v>4</v>
      </c>
      <c r="I7" t="s">
        <v>123</v>
      </c>
      <c r="J7" s="4">
        <v>8.5</v>
      </c>
      <c r="K7" t="s">
        <v>131</v>
      </c>
      <c r="L7" s="4">
        <v>12</v>
      </c>
      <c r="N7" t="s">
        <v>164</v>
      </c>
      <c r="O7" s="5">
        <v>1</v>
      </c>
      <c r="P7" t="s">
        <v>171</v>
      </c>
      <c r="Q7" s="5">
        <v>1</v>
      </c>
      <c r="S7" s="5"/>
    </row>
    <row r="8" spans="1:19" ht="12.75">
      <c r="A8" t="s">
        <v>4</v>
      </c>
      <c r="B8" s="4">
        <v>10</v>
      </c>
      <c r="C8" t="s">
        <v>11</v>
      </c>
      <c r="D8" s="4">
        <f>$D$6+$B$8*SIN($B$36)</f>
        <v>9.731906288081488</v>
      </c>
      <c r="E8" t="s">
        <v>78</v>
      </c>
      <c r="F8" s="4">
        <v>5</v>
      </c>
      <c r="I8" t="s">
        <v>124</v>
      </c>
      <c r="J8" s="4">
        <v>1</v>
      </c>
      <c r="K8" t="s">
        <v>132</v>
      </c>
      <c r="L8" s="4">
        <v>5</v>
      </c>
      <c r="N8" t="s">
        <v>165</v>
      </c>
      <c r="O8" s="5">
        <v>1</v>
      </c>
      <c r="P8" t="s">
        <v>172</v>
      </c>
      <c r="Q8" s="5">
        <v>1</v>
      </c>
      <c r="S8" s="5"/>
    </row>
    <row r="9" spans="1:19" ht="12.75">
      <c r="A9" t="s">
        <v>5</v>
      </c>
      <c r="B9" s="4">
        <v>10</v>
      </c>
      <c r="C9" t="s">
        <v>47</v>
      </c>
      <c r="D9" s="4">
        <v>10</v>
      </c>
      <c r="E9" t="s">
        <v>79</v>
      </c>
      <c r="F9" s="4">
        <f>$B$90</f>
        <v>6.520432718388327</v>
      </c>
      <c r="I9" t="s">
        <v>125</v>
      </c>
      <c r="J9" s="4">
        <v>9</v>
      </c>
      <c r="K9" t="s">
        <v>215</v>
      </c>
      <c r="L9" s="4">
        <v>8</v>
      </c>
      <c r="N9" t="s">
        <v>166</v>
      </c>
      <c r="O9" s="5">
        <v>1</v>
      </c>
      <c r="P9" t="s">
        <v>173</v>
      </c>
      <c r="Q9" s="5">
        <v>1</v>
      </c>
      <c r="S9" s="5"/>
    </row>
    <row r="10" spans="1:19" ht="12.75">
      <c r="A10" t="s">
        <v>6</v>
      </c>
      <c r="B10" s="4">
        <v>4</v>
      </c>
      <c r="C10" t="s">
        <v>48</v>
      </c>
      <c r="D10" s="4">
        <f>$D$3+$B$10*COS(RADIANS($D$9)+$B$37)</f>
        <v>6.018005750368491</v>
      </c>
      <c r="E10" t="s">
        <v>80</v>
      </c>
      <c r="F10" s="4">
        <f>$B$91</f>
        <v>4.5679337462276814</v>
      </c>
      <c r="I10" t="s">
        <v>126</v>
      </c>
      <c r="J10" s="4">
        <v>0.5</v>
      </c>
      <c r="K10" t="s">
        <v>216</v>
      </c>
      <c r="L10" s="4">
        <v>3</v>
      </c>
      <c r="N10" t="s">
        <v>217</v>
      </c>
      <c r="O10" s="5">
        <v>1</v>
      </c>
      <c r="P10" t="s">
        <v>218</v>
      </c>
      <c r="Q10" s="5">
        <v>1</v>
      </c>
      <c r="S10" s="5"/>
    </row>
    <row r="11" spans="1:19" ht="12.75">
      <c r="A11" t="s">
        <v>7</v>
      </c>
      <c r="B11" s="4">
        <v>5</v>
      </c>
      <c r="C11" t="s">
        <v>49</v>
      </c>
      <c r="D11" s="4">
        <f>$D$4+$B$10*SIN(RADIANS($D$9)+($B$37))</f>
        <v>3.673866382182787</v>
      </c>
      <c r="F11" s="5"/>
      <c r="O11" s="5"/>
      <c r="Q11" s="5"/>
      <c r="S11" s="5"/>
    </row>
    <row r="12" spans="1:26" ht="12.75">
      <c r="A12" s="9"/>
      <c r="B12" s="95" t="s">
        <v>101</v>
      </c>
      <c r="C12" s="95"/>
      <c r="D12" s="95"/>
      <c r="E12" s="95"/>
      <c r="F12" s="95"/>
      <c r="G12" s="95"/>
      <c r="H12" s="95"/>
      <c r="I12" s="9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8" customFormat="1" ht="12.75">
      <c r="A13" t="s">
        <v>15</v>
      </c>
      <c r="B13" s="8">
        <f>$B$3</f>
        <v>0</v>
      </c>
      <c r="C13" s="8">
        <f>B13+$B$4</f>
        <v>15</v>
      </c>
      <c r="D13" s="8">
        <f aca="true" t="shared" si="0" ref="D13:Z13">C13+$B$4</f>
        <v>30</v>
      </c>
      <c r="E13" s="8">
        <f t="shared" si="0"/>
        <v>45</v>
      </c>
      <c r="F13" s="8">
        <f t="shared" si="0"/>
        <v>60</v>
      </c>
      <c r="G13" s="8">
        <f t="shared" si="0"/>
        <v>75</v>
      </c>
      <c r="H13" s="8">
        <f t="shared" si="0"/>
        <v>90</v>
      </c>
      <c r="I13" s="8">
        <f t="shared" si="0"/>
        <v>105</v>
      </c>
      <c r="J13" s="8">
        <f t="shared" si="0"/>
        <v>120</v>
      </c>
      <c r="K13" s="8">
        <f t="shared" si="0"/>
        <v>135</v>
      </c>
      <c r="L13" s="8">
        <f t="shared" si="0"/>
        <v>150</v>
      </c>
      <c r="M13" s="8">
        <f t="shared" si="0"/>
        <v>165</v>
      </c>
      <c r="N13" s="8">
        <f t="shared" si="0"/>
        <v>180</v>
      </c>
      <c r="O13" s="8">
        <f t="shared" si="0"/>
        <v>195</v>
      </c>
      <c r="P13" s="8">
        <f t="shared" si="0"/>
        <v>210</v>
      </c>
      <c r="Q13" s="8">
        <f t="shared" si="0"/>
        <v>225</v>
      </c>
      <c r="R13" s="8">
        <f t="shared" si="0"/>
        <v>240</v>
      </c>
      <c r="S13" s="8">
        <f t="shared" si="0"/>
        <v>255</v>
      </c>
      <c r="T13" s="8">
        <f t="shared" si="0"/>
        <v>270</v>
      </c>
      <c r="U13" s="8">
        <f t="shared" si="0"/>
        <v>285</v>
      </c>
      <c r="V13" s="8">
        <f t="shared" si="0"/>
        <v>300</v>
      </c>
      <c r="W13" s="8">
        <f t="shared" si="0"/>
        <v>315</v>
      </c>
      <c r="X13" s="8">
        <f t="shared" si="0"/>
        <v>330</v>
      </c>
      <c r="Y13" s="8">
        <f t="shared" si="0"/>
        <v>345</v>
      </c>
      <c r="Z13" s="8">
        <f t="shared" si="0"/>
        <v>360</v>
      </c>
    </row>
    <row r="14" spans="1:26" s="108" customFormat="1" ht="12.75">
      <c r="A14" t="s">
        <v>36</v>
      </c>
      <c r="B14" s="5">
        <f>RADIANS(B13)</f>
        <v>0</v>
      </c>
      <c r="C14" s="5">
        <f>RADIANS(C13)</f>
        <v>0.2617993877991494</v>
      </c>
      <c r="D14" s="5">
        <f>RADIANS(D13)</f>
        <v>0.5235987755982988</v>
      </c>
      <c r="E14" s="5">
        <f aca="true" t="shared" si="1" ref="E14:Z14">RADIANS(E13)</f>
        <v>0.7853981633974483</v>
      </c>
      <c r="F14" s="5">
        <f t="shared" si="1"/>
        <v>1.0471975511965976</v>
      </c>
      <c r="G14" s="5">
        <f t="shared" si="1"/>
        <v>1.3089969389957472</v>
      </c>
      <c r="H14" s="5">
        <f t="shared" si="1"/>
        <v>1.5707963267948966</v>
      </c>
      <c r="I14" s="5">
        <f t="shared" si="1"/>
        <v>1.8325957145940461</v>
      </c>
      <c r="J14" s="5">
        <f t="shared" si="1"/>
        <v>2.0943951023931953</v>
      </c>
      <c r="K14" s="5">
        <f t="shared" si="1"/>
        <v>2.356194490192345</v>
      </c>
      <c r="L14" s="5">
        <f t="shared" si="1"/>
        <v>2.6179938779914944</v>
      </c>
      <c r="M14" s="5">
        <f t="shared" si="1"/>
        <v>2.8797932657906435</v>
      </c>
      <c r="N14" s="5">
        <f t="shared" si="1"/>
        <v>3.141592653589793</v>
      </c>
      <c r="O14" s="5">
        <f t="shared" si="1"/>
        <v>3.4033920413889427</v>
      </c>
      <c r="P14" s="5">
        <f t="shared" si="1"/>
        <v>3.6651914291880923</v>
      </c>
      <c r="Q14" s="5">
        <f t="shared" si="1"/>
        <v>3.9269908169872414</v>
      </c>
      <c r="R14" s="5">
        <f t="shared" si="1"/>
        <v>4.1887902047863905</v>
      </c>
      <c r="S14" s="5">
        <f t="shared" si="1"/>
        <v>4.4505895925855405</v>
      </c>
      <c r="T14" s="5">
        <f t="shared" si="1"/>
        <v>4.71238898038469</v>
      </c>
      <c r="U14" s="5">
        <f t="shared" si="1"/>
        <v>4.974188368183839</v>
      </c>
      <c r="V14" s="5">
        <f t="shared" si="1"/>
        <v>5.235987755982989</v>
      </c>
      <c r="W14" s="5">
        <f t="shared" si="1"/>
        <v>5.497787143782138</v>
      </c>
      <c r="X14" s="5">
        <f t="shared" si="1"/>
        <v>5.759586531581287</v>
      </c>
      <c r="Y14" s="5">
        <f t="shared" si="1"/>
        <v>6.021385919380437</v>
      </c>
      <c r="Z14" s="5">
        <f t="shared" si="1"/>
        <v>6.283185307179586</v>
      </c>
    </row>
    <row r="15" spans="1:26" s="108" customFormat="1" ht="12.75">
      <c r="A15" s="1" t="s">
        <v>16</v>
      </c>
      <c r="B15" s="5">
        <f>RADIANS(B13-$B$3)</f>
        <v>0</v>
      </c>
      <c r="C15" s="5">
        <f aca="true" t="shared" si="2" ref="C15:M15">RADIANS(C13-$B$3)</f>
        <v>0.2617993877991494</v>
      </c>
      <c r="D15" s="5">
        <f t="shared" si="2"/>
        <v>0.5235987755982988</v>
      </c>
      <c r="E15" s="5">
        <f t="shared" si="2"/>
        <v>0.7853981633974483</v>
      </c>
      <c r="F15" s="5">
        <f t="shared" si="2"/>
        <v>1.0471975511965976</v>
      </c>
      <c r="G15" s="5">
        <f t="shared" si="2"/>
        <v>1.3089969389957472</v>
      </c>
      <c r="H15" s="5">
        <f t="shared" si="2"/>
        <v>1.5707963267948966</v>
      </c>
      <c r="I15" s="5">
        <f t="shared" si="2"/>
        <v>1.8325957145940461</v>
      </c>
      <c r="J15" s="5">
        <f t="shared" si="2"/>
        <v>2.0943951023931953</v>
      </c>
      <c r="K15" s="5">
        <f t="shared" si="2"/>
        <v>2.356194490192345</v>
      </c>
      <c r="L15" s="5">
        <f t="shared" si="2"/>
        <v>2.6179938779914944</v>
      </c>
      <c r="M15" s="5">
        <f t="shared" si="2"/>
        <v>2.8797932657906435</v>
      </c>
      <c r="N15" s="5">
        <f aca="true" t="shared" si="3" ref="N15:Z15">RADIANS(N13-$B$3)</f>
        <v>3.141592653589793</v>
      </c>
      <c r="O15" s="5">
        <f t="shared" si="3"/>
        <v>3.4033920413889427</v>
      </c>
      <c r="P15" s="5">
        <f t="shared" si="3"/>
        <v>3.6651914291880923</v>
      </c>
      <c r="Q15" s="5">
        <f t="shared" si="3"/>
        <v>3.9269908169872414</v>
      </c>
      <c r="R15" s="5">
        <f t="shared" si="3"/>
        <v>4.1887902047863905</v>
      </c>
      <c r="S15" s="5">
        <f t="shared" si="3"/>
        <v>4.4505895925855405</v>
      </c>
      <c r="T15" s="5">
        <f t="shared" si="3"/>
        <v>4.71238898038469</v>
      </c>
      <c r="U15" s="5">
        <f t="shared" si="3"/>
        <v>4.974188368183839</v>
      </c>
      <c r="V15" s="5">
        <f t="shared" si="3"/>
        <v>5.235987755982989</v>
      </c>
      <c r="W15" s="5">
        <f t="shared" si="3"/>
        <v>5.497787143782138</v>
      </c>
      <c r="X15" s="5">
        <f t="shared" si="3"/>
        <v>5.759586531581287</v>
      </c>
      <c r="Y15" s="5">
        <f t="shared" si="3"/>
        <v>6.021385919380437</v>
      </c>
      <c r="Z15" s="5">
        <f t="shared" si="3"/>
        <v>6.283185307179586</v>
      </c>
    </row>
    <row r="16" spans="1:26" s="108" customFormat="1" ht="12.75">
      <c r="A16" t="s">
        <v>32</v>
      </c>
      <c r="B16" s="5">
        <f>SIN(B15)</f>
        <v>0</v>
      </c>
      <c r="C16" s="5">
        <f aca="true" t="shared" si="4" ref="C16:Z16">SIN(C15)</f>
        <v>0.25881904510252074</v>
      </c>
      <c r="D16" s="5">
        <f t="shared" si="4"/>
        <v>0.49999999999999994</v>
      </c>
      <c r="E16" s="5">
        <f t="shared" si="4"/>
        <v>0.7071067811865475</v>
      </c>
      <c r="F16" s="5">
        <f t="shared" si="4"/>
        <v>0.8660254037844386</v>
      </c>
      <c r="G16" s="5">
        <f t="shared" si="4"/>
        <v>0.9659258262890683</v>
      </c>
      <c r="H16" s="5">
        <f t="shared" si="4"/>
        <v>1</v>
      </c>
      <c r="I16" s="5">
        <f t="shared" si="4"/>
        <v>0.9659258262890683</v>
      </c>
      <c r="J16" s="5">
        <f t="shared" si="4"/>
        <v>0.8660254037844387</v>
      </c>
      <c r="K16" s="5">
        <f t="shared" si="4"/>
        <v>0.7071067811865476</v>
      </c>
      <c r="L16" s="5">
        <f t="shared" si="4"/>
        <v>0.49999999999999994</v>
      </c>
      <c r="M16" s="5">
        <f t="shared" si="4"/>
        <v>0.258819045102521</v>
      </c>
      <c r="N16" s="5">
        <f t="shared" si="4"/>
        <v>1.22514845490862E-16</v>
      </c>
      <c r="O16" s="5">
        <f t="shared" si="4"/>
        <v>-0.2588190451025208</v>
      </c>
      <c r="P16" s="5">
        <f t="shared" si="4"/>
        <v>-0.5000000000000001</v>
      </c>
      <c r="Q16" s="5">
        <f t="shared" si="4"/>
        <v>-0.7071067811865475</v>
      </c>
      <c r="R16" s="5">
        <f t="shared" si="4"/>
        <v>-0.8660254037844384</v>
      </c>
      <c r="S16" s="5">
        <f t="shared" si="4"/>
        <v>-0.9659258262890683</v>
      </c>
      <c r="T16" s="5">
        <f t="shared" si="4"/>
        <v>-1</v>
      </c>
      <c r="U16" s="5">
        <f t="shared" si="4"/>
        <v>-0.9659258262890684</v>
      </c>
      <c r="V16" s="5">
        <f t="shared" si="4"/>
        <v>-0.8660254037844386</v>
      </c>
      <c r="W16" s="5">
        <f t="shared" si="4"/>
        <v>-0.7071067811865477</v>
      </c>
      <c r="X16" s="5">
        <f t="shared" si="4"/>
        <v>-0.5000000000000004</v>
      </c>
      <c r="Y16" s="5">
        <f t="shared" si="4"/>
        <v>-0.2588190451025207</v>
      </c>
      <c r="Z16" s="5">
        <f t="shared" si="4"/>
        <v>-2.45029690981724E-16</v>
      </c>
    </row>
    <row r="17" spans="1:26" s="108" customFormat="1" ht="12.75">
      <c r="A17" t="s">
        <v>33</v>
      </c>
      <c r="B17" s="5">
        <f>COS(B15)</f>
        <v>1</v>
      </c>
      <c r="C17" s="5">
        <f aca="true" t="shared" si="5" ref="C17:Z17">COS(C15)</f>
        <v>0.9659258262890683</v>
      </c>
      <c r="D17" s="5">
        <f t="shared" si="5"/>
        <v>0.8660254037844387</v>
      </c>
      <c r="E17" s="5">
        <f t="shared" si="5"/>
        <v>0.7071067811865476</v>
      </c>
      <c r="F17" s="5">
        <f t="shared" si="5"/>
        <v>0.5000000000000001</v>
      </c>
      <c r="G17" s="5">
        <f t="shared" si="5"/>
        <v>0.25881904510252074</v>
      </c>
      <c r="H17" s="5">
        <f t="shared" si="5"/>
        <v>6.1257422745431E-17</v>
      </c>
      <c r="I17" s="5">
        <f t="shared" si="5"/>
        <v>-0.25881904510252085</v>
      </c>
      <c r="J17" s="5">
        <f t="shared" si="5"/>
        <v>-0.4999999999999998</v>
      </c>
      <c r="K17" s="5">
        <f t="shared" si="5"/>
        <v>-0.7071067811865475</v>
      </c>
      <c r="L17" s="5">
        <f t="shared" si="5"/>
        <v>-0.8660254037844387</v>
      </c>
      <c r="M17" s="5">
        <f t="shared" si="5"/>
        <v>-0.9659258262890682</v>
      </c>
      <c r="N17" s="5">
        <f t="shared" si="5"/>
        <v>-1</v>
      </c>
      <c r="O17" s="5">
        <f t="shared" si="5"/>
        <v>-0.9659258262890683</v>
      </c>
      <c r="P17" s="5">
        <f t="shared" si="5"/>
        <v>-0.8660254037844386</v>
      </c>
      <c r="Q17" s="5">
        <f t="shared" si="5"/>
        <v>-0.7071067811865477</v>
      </c>
      <c r="R17" s="5">
        <f t="shared" si="5"/>
        <v>-0.5000000000000004</v>
      </c>
      <c r="S17" s="5">
        <f t="shared" si="5"/>
        <v>-0.25881904510252063</v>
      </c>
      <c r="T17" s="5">
        <f t="shared" si="5"/>
        <v>-1.83772268236293E-16</v>
      </c>
      <c r="U17" s="5">
        <f t="shared" si="5"/>
        <v>0.2588190451025203</v>
      </c>
      <c r="V17" s="5">
        <f t="shared" si="5"/>
        <v>0.5000000000000001</v>
      </c>
      <c r="W17" s="5">
        <f t="shared" si="5"/>
        <v>0.7071067811865474</v>
      </c>
      <c r="X17" s="5">
        <f t="shared" si="5"/>
        <v>0.8660254037844384</v>
      </c>
      <c r="Y17" s="5">
        <f t="shared" si="5"/>
        <v>0.9659258262890683</v>
      </c>
      <c r="Z17" s="5">
        <f t="shared" si="5"/>
        <v>1</v>
      </c>
    </row>
    <row r="18" spans="1:26" s="108" customFormat="1" ht="12.75">
      <c r="A1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108" customFormat="1" ht="12.75">
      <c r="A19" t="s">
        <v>31</v>
      </c>
      <c r="B19" s="5">
        <f>IF($B$6=0,B15/$B$5,(-$B$5+($B$5^2+2*$B$6*B15)^0.5)/$B$6)</f>
        <v>0</v>
      </c>
      <c r="C19" s="5">
        <f>IF($B$6=0,C15/$B$5,(-$B$5+($B$5^2+2*$B$6*C15)^0.5)/$B$6)</f>
        <v>0.2617993877991494</v>
      </c>
      <c r="D19" s="5">
        <f>IF($B$6=0,D15/$B$5,(-$B$5+($B$5^2+2*$B$6*D15)^0.5)/$B$6)</f>
        <v>0.5235987755982988</v>
      </c>
      <c r="E19" s="5">
        <f>IF($B$6=0,E15/$B$5,(-$B$5+($B$5^2+2*$B$6*E15)^0.5)/$B$6)</f>
        <v>0.7853981633974483</v>
      </c>
      <c r="F19" s="5">
        <f>IF($B$6=0,F15/$B$5,(-$B$5+($B$5^2+2*$B$6*F15)^0.5)/$B$6)</f>
        <v>1.0471975511965976</v>
      </c>
      <c r="G19" s="5">
        <f>IF($B$6=0,G15/$B$5,(-$B$5+($B$5^2+2*$B$6*G15)^0.5)/$B$6)</f>
        <v>1.3089969389957472</v>
      </c>
      <c r="H19" s="5">
        <f>IF($B$6=0,H15/$B$5,(-$B$5+($B$5^2+2*$B$6*H15)^0.5)/$B$6)</f>
        <v>1.5707963267948966</v>
      </c>
      <c r="I19" s="5">
        <f>IF($B$6=0,I15/$B$5,(-$B$5+($B$5^2+2*$B$6*I15)^0.5)/$B$6)</f>
        <v>1.8325957145940461</v>
      </c>
      <c r="J19" s="5">
        <f>IF($B$6=0,J15/$B$5,(-$B$5+($B$5^2+2*$B$6*J15)^0.5)/$B$6)</f>
        <v>2.0943951023931953</v>
      </c>
      <c r="K19" s="5">
        <f>IF($B$6=0,K15/$B$5,(-$B$5+($B$5^2+2*$B$6*K15)^0.5)/$B$6)</f>
        <v>2.356194490192345</v>
      </c>
      <c r="L19" s="5">
        <f>IF($B$6=0,L15/$B$5,(-$B$5+($B$5^2+2*$B$6*L15)^0.5)/$B$6)</f>
        <v>2.6179938779914944</v>
      </c>
      <c r="M19" s="5">
        <f>IF($B$6=0,M15/$B$5,(-$B$5+($B$5^2+2*$B$6*M15)^0.5)/$B$6)</f>
        <v>2.8797932657906435</v>
      </c>
      <c r="N19" s="5">
        <f>IF($B$6=0,N15/$B$5,(-$B$5+($B$5^2+2*$B$6*N15)^0.5)/$B$6)</f>
        <v>3.141592653589793</v>
      </c>
      <c r="O19" s="5">
        <f>IF($B$6=0,O15/$B$5,(-$B$5+($B$5^2+2*$B$6*O15)^0.5)/$B$6)</f>
        <v>3.4033920413889427</v>
      </c>
      <c r="P19" s="5">
        <f>IF($B$6=0,P15/$B$5,(-$B$5+($B$5^2+2*$B$6*P15)^0.5)/$B$6)</f>
        <v>3.6651914291880923</v>
      </c>
      <c r="Q19" s="5">
        <f>IF($B$6=0,Q15/$B$5,(-$B$5+($B$5^2+2*$B$6*Q15)^0.5)/$B$6)</f>
        <v>3.9269908169872414</v>
      </c>
      <c r="R19" s="5">
        <f>IF($B$6=0,R15/$B$5,(-$B$5+($B$5^2+2*$B$6*R15)^0.5)/$B$6)</f>
        <v>4.1887902047863905</v>
      </c>
      <c r="S19" s="5">
        <f>IF($B$6=0,S15/$B$5,(-$B$5+($B$5^2+2*$B$6*S15)^0.5)/$B$6)</f>
        <v>4.4505895925855405</v>
      </c>
      <c r="T19" s="5">
        <f>IF($B$6=0,T15/$B$5,(-$B$5+($B$5^2+2*$B$6*T15)^0.5)/$B$6)</f>
        <v>4.71238898038469</v>
      </c>
      <c r="U19" s="5">
        <f>IF($B$6=0,U15/$B$5,(-$B$5+($B$5^2+2*$B$6*U15)^0.5)/$B$6)</f>
        <v>4.974188368183839</v>
      </c>
      <c r="V19" s="5">
        <f>IF($B$6=0,V15/$B$5,(-$B$5+($B$5^2+2*$B$6*V15)^0.5)/$B$6)</f>
        <v>5.235987755982989</v>
      </c>
      <c r="W19" s="5">
        <f>IF($B$6=0,W15/$B$5,(-$B$5+($B$5^2+2*$B$6*W15)^0.5)/$B$6)</f>
        <v>5.497787143782138</v>
      </c>
      <c r="X19" s="5">
        <f>IF($B$6=0,X15/$B$5,(-$B$5+($B$5^2+2*$B$6*X15)^0.5)/$B$6)</f>
        <v>5.759586531581287</v>
      </c>
      <c r="Y19" s="5">
        <f>IF($B$6=0,Y15/$B$5,(-$B$5+($B$5^2+2*$B$6*Y15)^0.5)/$B$6)</f>
        <v>6.021385919380437</v>
      </c>
      <c r="Z19" s="5">
        <f>IF($B$6=0,Z15/$B$5,(-$B$5+($B$5^2+2*$B$6*Z15)^0.5)/$B$6)</f>
        <v>6.283185307179586</v>
      </c>
    </row>
    <row r="20" spans="1:26" s="108" customFormat="1" ht="12.75">
      <c r="A20" t="s">
        <v>14</v>
      </c>
      <c r="B20" s="5">
        <f>$B$5+$B$6*B19</f>
        <v>1</v>
      </c>
      <c r="C20" s="5">
        <f>$B$5+$B$6*C19</f>
        <v>1</v>
      </c>
      <c r="D20" s="5">
        <f>$B$5+$B$6*D19</f>
        <v>1</v>
      </c>
      <c r="E20" s="5">
        <f>$B$5+$B$6*E19</f>
        <v>1</v>
      </c>
      <c r="F20" s="5">
        <f>$B$5+$B$6*F19</f>
        <v>1</v>
      </c>
      <c r="G20" s="5">
        <f>$B$5+$B$6*G19</f>
        <v>1</v>
      </c>
      <c r="H20" s="5">
        <f>$B$5+$B$6*H19</f>
        <v>1</v>
      </c>
      <c r="I20" s="5">
        <f>$B$5+$B$6*I19</f>
        <v>1</v>
      </c>
      <c r="J20" s="5">
        <f>$B$5+$B$6*J19</f>
        <v>1</v>
      </c>
      <c r="K20" s="5">
        <f>$B$5+$B$6*K19</f>
        <v>1</v>
      </c>
      <c r="L20" s="5">
        <f>$B$5+$B$6*L19</f>
        <v>1</v>
      </c>
      <c r="M20" s="5">
        <f>$B$5+$B$6*M19</f>
        <v>1</v>
      </c>
      <c r="N20" s="5">
        <f>$B$5+$B$6*N19</f>
        <v>1</v>
      </c>
      <c r="O20" s="5">
        <f>$B$5+$B$6*O19</f>
        <v>1</v>
      </c>
      <c r="P20" s="5">
        <f>$B$5+$B$6*P19</f>
        <v>1</v>
      </c>
      <c r="Q20" s="5">
        <f>$B$5+$B$6*Q19</f>
        <v>1</v>
      </c>
      <c r="R20" s="5">
        <f>$B$5+$B$6*R19</f>
        <v>1</v>
      </c>
      <c r="S20" s="5">
        <f>$B$5+$B$6*S19</f>
        <v>1</v>
      </c>
      <c r="T20" s="5">
        <f>$B$5+$B$6*T19</f>
        <v>1</v>
      </c>
      <c r="U20" s="5">
        <f>$B$5+$B$6*U19</f>
        <v>1</v>
      </c>
      <c r="V20" s="5">
        <f>$B$5+$B$6*V19</f>
        <v>1</v>
      </c>
      <c r="W20" s="5">
        <f>$B$5+$B$6*W19</f>
        <v>1</v>
      </c>
      <c r="X20" s="5">
        <f>$B$5+$B$6*X19</f>
        <v>1</v>
      </c>
      <c r="Y20" s="5">
        <f>$B$5+$B$6*Y19</f>
        <v>1</v>
      </c>
      <c r="Z20" s="5">
        <f>$B$5+$B$6*Z19</f>
        <v>1</v>
      </c>
    </row>
    <row r="21" spans="1:26" s="108" customFormat="1" ht="12.75">
      <c r="A2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08" customFormat="1" ht="12.75">
      <c r="A2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108" customFormat="1" ht="12.75">
      <c r="A23" s="10"/>
      <c r="B23" s="104" t="s">
        <v>102</v>
      </c>
      <c r="C23" s="104"/>
      <c r="D23" s="104"/>
      <c r="E23" s="104"/>
      <c r="F23" s="104"/>
      <c r="G23" s="104"/>
      <c r="H23" s="104"/>
      <c r="I23" s="104"/>
      <c r="J23" s="10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08" customFormat="1" ht="12.75">
      <c r="A24" t="s">
        <v>17</v>
      </c>
      <c r="B24" s="5">
        <f>$D$5*B17-$D$6*B16</f>
        <v>3</v>
      </c>
      <c r="C24" s="5">
        <f aca="true" t="shared" si="6" ref="C24:Z24">$D$5*C17-$D$6*C16</f>
        <v>2.897777478867205</v>
      </c>
      <c r="D24" s="5">
        <f t="shared" si="6"/>
        <v>2.598076211353316</v>
      </c>
      <c r="E24" s="5">
        <f t="shared" si="6"/>
        <v>2.121320343559643</v>
      </c>
      <c r="F24" s="5">
        <f t="shared" si="6"/>
        <v>1.5000000000000004</v>
      </c>
      <c r="G24" s="5">
        <f t="shared" si="6"/>
        <v>0.7764571353075622</v>
      </c>
      <c r="H24" s="5">
        <f t="shared" si="6"/>
        <v>1.83772268236293E-16</v>
      </c>
      <c r="I24" s="5">
        <f t="shared" si="6"/>
        <v>-0.7764571353075626</v>
      </c>
      <c r="J24" s="5">
        <f t="shared" si="6"/>
        <v>-1.4999999999999993</v>
      </c>
      <c r="K24" s="5">
        <f t="shared" si="6"/>
        <v>-2.1213203435596424</v>
      </c>
      <c r="L24" s="5">
        <f t="shared" si="6"/>
        <v>-2.598076211353316</v>
      </c>
      <c r="M24" s="5">
        <f t="shared" si="6"/>
        <v>-2.8977774788672046</v>
      </c>
      <c r="N24" s="5">
        <f t="shared" si="6"/>
        <v>-3</v>
      </c>
      <c r="O24" s="5">
        <f t="shared" si="6"/>
        <v>-2.897777478867205</v>
      </c>
      <c r="P24" s="5">
        <f t="shared" si="6"/>
        <v>-2.598076211353316</v>
      </c>
      <c r="Q24" s="5">
        <f t="shared" si="6"/>
        <v>-2.121320343559643</v>
      </c>
      <c r="R24" s="5">
        <f t="shared" si="6"/>
        <v>-1.5000000000000013</v>
      </c>
      <c r="S24" s="5">
        <f t="shared" si="6"/>
        <v>-0.7764571353075619</v>
      </c>
      <c r="T24" s="5">
        <f t="shared" si="6"/>
        <v>-5.51316804708879E-16</v>
      </c>
      <c r="U24" s="5">
        <f t="shared" si="6"/>
        <v>0.7764571353075609</v>
      </c>
      <c r="V24" s="5">
        <f t="shared" si="6"/>
        <v>1.5000000000000004</v>
      </c>
      <c r="W24" s="5">
        <f t="shared" si="6"/>
        <v>2.121320343559642</v>
      </c>
      <c r="X24" s="5">
        <f t="shared" si="6"/>
        <v>2.598076211353315</v>
      </c>
      <c r="Y24" s="5">
        <f t="shared" si="6"/>
        <v>2.897777478867205</v>
      </c>
      <c r="Z24" s="5">
        <f t="shared" si="6"/>
        <v>3</v>
      </c>
    </row>
    <row r="25" spans="1:26" s="108" customFormat="1" ht="12.75">
      <c r="A25" t="s">
        <v>18</v>
      </c>
      <c r="B25" s="5">
        <f>$D$5*B16+$D$6*B17</f>
        <v>0</v>
      </c>
      <c r="C25" s="5">
        <f aca="true" t="shared" si="7" ref="C25:Z25">$D$5*C16+$D$6*C17</f>
        <v>0.7764571353075622</v>
      </c>
      <c r="D25" s="5">
        <f t="shared" si="7"/>
        <v>1.4999999999999998</v>
      </c>
      <c r="E25" s="5">
        <f t="shared" si="7"/>
        <v>2.1213203435596424</v>
      </c>
      <c r="F25" s="5">
        <f t="shared" si="7"/>
        <v>2.598076211353316</v>
      </c>
      <c r="G25" s="5">
        <f t="shared" si="7"/>
        <v>2.897777478867205</v>
      </c>
      <c r="H25" s="5">
        <f t="shared" si="7"/>
        <v>3</v>
      </c>
      <c r="I25" s="5">
        <f t="shared" si="7"/>
        <v>2.897777478867205</v>
      </c>
      <c r="J25" s="5">
        <f t="shared" si="7"/>
        <v>2.598076211353316</v>
      </c>
      <c r="K25" s="5">
        <f t="shared" si="7"/>
        <v>2.121320343559643</v>
      </c>
      <c r="L25" s="5">
        <f t="shared" si="7"/>
        <v>1.4999999999999998</v>
      </c>
      <c r="M25" s="5">
        <f t="shared" si="7"/>
        <v>0.7764571353075631</v>
      </c>
      <c r="N25" s="5">
        <f t="shared" si="7"/>
        <v>3.67544536472586E-16</v>
      </c>
      <c r="O25" s="5">
        <f t="shared" si="7"/>
        <v>-0.7764571353075624</v>
      </c>
      <c r="P25" s="5">
        <f t="shared" si="7"/>
        <v>-1.5000000000000004</v>
      </c>
      <c r="Q25" s="5">
        <f t="shared" si="7"/>
        <v>-2.1213203435596424</v>
      </c>
      <c r="R25" s="5">
        <f t="shared" si="7"/>
        <v>-2.598076211353315</v>
      </c>
      <c r="S25" s="5">
        <f t="shared" si="7"/>
        <v>-2.897777478867205</v>
      </c>
      <c r="T25" s="5">
        <f t="shared" si="7"/>
        <v>-3</v>
      </c>
      <c r="U25" s="5">
        <f t="shared" si="7"/>
        <v>-2.897777478867205</v>
      </c>
      <c r="V25" s="5">
        <f t="shared" si="7"/>
        <v>-2.598076211353316</v>
      </c>
      <c r="W25" s="5">
        <f t="shared" si="7"/>
        <v>-2.121320343559643</v>
      </c>
      <c r="X25" s="5">
        <f t="shared" si="7"/>
        <v>-1.5000000000000013</v>
      </c>
      <c r="Y25" s="5">
        <f t="shared" si="7"/>
        <v>-0.776457135307562</v>
      </c>
      <c r="Z25" s="5">
        <f t="shared" si="7"/>
        <v>-7.35089072945172E-16</v>
      </c>
    </row>
    <row r="26" spans="1:26" s="108" customFormat="1" ht="12.75">
      <c r="A26" t="s">
        <v>19</v>
      </c>
      <c r="B26" s="5">
        <f>-B20*B25</f>
        <v>0</v>
      </c>
      <c r="C26" s="5">
        <f>-C20*C25</f>
        <v>-0.7764571353075622</v>
      </c>
      <c r="D26" s="5">
        <f>-D20*D25</f>
        <v>-1.4999999999999998</v>
      </c>
      <c r="E26" s="5">
        <f>-E20*E25</f>
        <v>-2.1213203435596424</v>
      </c>
      <c r="F26" s="5">
        <f>-F20*F25</f>
        <v>-2.598076211353316</v>
      </c>
      <c r="G26" s="5">
        <f>-G20*G25</f>
        <v>-2.897777478867205</v>
      </c>
      <c r="H26" s="5">
        <f>-H20*H25</f>
        <v>-3</v>
      </c>
      <c r="I26" s="5">
        <f>-I20*I25</f>
        <v>-2.897777478867205</v>
      </c>
      <c r="J26" s="5">
        <f>-J20*J25</f>
        <v>-2.598076211353316</v>
      </c>
      <c r="K26" s="5">
        <f>-K20*K25</f>
        <v>-2.121320343559643</v>
      </c>
      <c r="L26" s="5">
        <f>-L20*L25</f>
        <v>-1.4999999999999998</v>
      </c>
      <c r="M26" s="5">
        <f>-M20*M25</f>
        <v>-0.7764571353075631</v>
      </c>
      <c r="N26" s="5">
        <f>-N20*N25</f>
        <v>-3.67544536472586E-16</v>
      </c>
      <c r="O26" s="5">
        <f>-O20*O25</f>
        <v>0.7764571353075624</v>
      </c>
      <c r="P26" s="5">
        <f>-P20*P25</f>
        <v>1.5000000000000004</v>
      </c>
      <c r="Q26" s="5">
        <f>-Q20*Q25</f>
        <v>2.1213203435596424</v>
      </c>
      <c r="R26" s="5">
        <f>-R20*R25</f>
        <v>2.598076211353315</v>
      </c>
      <c r="S26" s="5">
        <f>-S20*S25</f>
        <v>2.897777478867205</v>
      </c>
      <c r="T26" s="5">
        <f>-T20*T25</f>
        <v>3</v>
      </c>
      <c r="U26" s="5">
        <f>-U20*U25</f>
        <v>2.897777478867205</v>
      </c>
      <c r="V26" s="5">
        <f>-V20*V25</f>
        <v>2.598076211353316</v>
      </c>
      <c r="W26" s="5">
        <f>-W20*W25</f>
        <v>2.121320343559643</v>
      </c>
      <c r="X26" s="5">
        <f>-X20*X25</f>
        <v>1.5000000000000013</v>
      </c>
      <c r="Y26" s="5">
        <f>-Y20*Y25</f>
        <v>0.776457135307562</v>
      </c>
      <c r="Z26" s="5">
        <f>-Z20*Z25</f>
        <v>7.35089072945172E-16</v>
      </c>
    </row>
    <row r="27" spans="1:26" s="108" customFormat="1" ht="12.75">
      <c r="A27" t="s">
        <v>20</v>
      </c>
      <c r="B27" s="5">
        <f>B20*B24</f>
        <v>3</v>
      </c>
      <c r="C27" s="5">
        <f>C20*C24</f>
        <v>2.897777478867205</v>
      </c>
      <c r="D27" s="5">
        <f>D20*D24</f>
        <v>2.598076211353316</v>
      </c>
      <c r="E27" s="5">
        <f>E20*E24</f>
        <v>2.121320343559643</v>
      </c>
      <c r="F27" s="5">
        <f>F20*F24</f>
        <v>1.5000000000000004</v>
      </c>
      <c r="G27" s="5">
        <f>G20*G24</f>
        <v>0.7764571353075622</v>
      </c>
      <c r="H27" s="5">
        <f>H20*H24</f>
        <v>1.83772268236293E-16</v>
      </c>
      <c r="I27" s="5">
        <f>I20*I24</f>
        <v>-0.7764571353075626</v>
      </c>
      <c r="J27" s="5">
        <f>J20*J24</f>
        <v>-1.4999999999999993</v>
      </c>
      <c r="K27" s="5">
        <f>K20*K24</f>
        <v>-2.1213203435596424</v>
      </c>
      <c r="L27" s="5">
        <f>L20*L24</f>
        <v>-2.598076211353316</v>
      </c>
      <c r="M27" s="5">
        <f>M20*M24</f>
        <v>-2.8977774788672046</v>
      </c>
      <c r="N27" s="5">
        <f>N20*N24</f>
        <v>-3</v>
      </c>
      <c r="O27" s="5">
        <f>O20*O24</f>
        <v>-2.897777478867205</v>
      </c>
      <c r="P27" s="5">
        <f>P20*P24</f>
        <v>-2.598076211353316</v>
      </c>
      <c r="Q27" s="5">
        <f>Q20*Q24</f>
        <v>-2.121320343559643</v>
      </c>
      <c r="R27" s="5">
        <f>R20*R24</f>
        <v>-1.5000000000000013</v>
      </c>
      <c r="S27" s="5">
        <f>S20*S24</f>
        <v>-0.7764571353075619</v>
      </c>
      <c r="T27" s="5">
        <f>T20*T24</f>
        <v>-5.51316804708879E-16</v>
      </c>
      <c r="U27" s="5">
        <f>U20*U24</f>
        <v>0.7764571353075609</v>
      </c>
      <c r="V27" s="5">
        <f>V20*V24</f>
        <v>1.5000000000000004</v>
      </c>
      <c r="W27" s="5">
        <f>W20*W24</f>
        <v>2.121320343559642</v>
      </c>
      <c r="X27" s="5">
        <f>X20*X24</f>
        <v>2.598076211353315</v>
      </c>
      <c r="Y27" s="5">
        <f>Y20*Y24</f>
        <v>2.897777478867205</v>
      </c>
      <c r="Z27" s="5">
        <f>Z20*Z24</f>
        <v>3</v>
      </c>
    </row>
    <row r="28" spans="1:26" s="108" customFormat="1" ht="12.75">
      <c r="A28" t="s">
        <v>21</v>
      </c>
      <c r="B28" s="5">
        <f>-B20*B27-$B$6*B25</f>
        <v>-3</v>
      </c>
      <c r="C28" s="5">
        <f>-C20*C27-$B$6*C25</f>
        <v>-2.897777478867205</v>
      </c>
      <c r="D28" s="5">
        <f>-D20*D27-$B$6*D25</f>
        <v>-2.598076211353316</v>
      </c>
      <c r="E28" s="5">
        <f>-E20*E27-$B$6*E25</f>
        <v>-2.121320343559643</v>
      </c>
      <c r="F28" s="5">
        <f>-F20*F27-$B$6*F25</f>
        <v>-1.5000000000000004</v>
      </c>
      <c r="G28" s="5">
        <f>-G20*G27-$B$6*G25</f>
        <v>-0.7764571353075622</v>
      </c>
      <c r="H28" s="5">
        <f>-H20*H27-$B$6*H25</f>
        <v>-1.83772268236293E-16</v>
      </c>
      <c r="I28" s="5">
        <f>-I20*I27-$B$6*I25</f>
        <v>0.7764571353075626</v>
      </c>
      <c r="J28" s="5">
        <f>-J20*J27-$B$6*J25</f>
        <v>1.4999999999999993</v>
      </c>
      <c r="K28" s="5">
        <f>-K20*K27-$B$6*K25</f>
        <v>2.1213203435596424</v>
      </c>
      <c r="L28" s="5">
        <f>-L20*L27-$B$6*L25</f>
        <v>2.598076211353316</v>
      </c>
      <c r="M28" s="5">
        <f>-M20*M27-$B$6*M25</f>
        <v>2.8977774788672046</v>
      </c>
      <c r="N28" s="5">
        <f>-N20*N27-$B$6*N25</f>
        <v>3</v>
      </c>
      <c r="O28" s="5">
        <f>-O20*O27-$B$6*O25</f>
        <v>2.897777478867205</v>
      </c>
      <c r="P28" s="5">
        <f>-P20*P27-$B$6*P25</f>
        <v>2.598076211353316</v>
      </c>
      <c r="Q28" s="5">
        <f>-Q20*Q27-$B$6*Q25</f>
        <v>2.121320343559643</v>
      </c>
      <c r="R28" s="5">
        <f>-R20*R27-$B$6*R25</f>
        <v>1.5000000000000013</v>
      </c>
      <c r="S28" s="5">
        <f>-S20*S27-$B$6*S25</f>
        <v>0.7764571353075619</v>
      </c>
      <c r="T28" s="5">
        <f>-T20*T27-$B$6*T25</f>
        <v>5.51316804708879E-16</v>
      </c>
      <c r="U28" s="5">
        <f>-U20*U27-$B$6*U25</f>
        <v>-0.7764571353075609</v>
      </c>
      <c r="V28" s="5">
        <f>-V20*V27-$B$6*V25</f>
        <v>-1.5000000000000004</v>
      </c>
      <c r="W28" s="5">
        <f>-W20*W27-$B$6*W25</f>
        <v>-2.121320343559642</v>
      </c>
      <c r="X28" s="5">
        <f>-X20*X27-$B$6*X25</f>
        <v>-2.598076211353315</v>
      </c>
      <c r="Y28" s="5">
        <f>-Y20*Y27-$B$6*Y25</f>
        <v>-2.897777478867205</v>
      </c>
      <c r="Z28" s="5">
        <f>-Z20*Z27-$B$6*Z25</f>
        <v>-3</v>
      </c>
    </row>
    <row r="29" spans="1:26" s="108" customFormat="1" ht="12.75">
      <c r="A29" t="s">
        <v>22</v>
      </c>
      <c r="B29" s="5">
        <f>B20*B26+$B$6*B24</f>
        <v>0</v>
      </c>
      <c r="C29" s="5">
        <f>C20*C26+$B$6*C24</f>
        <v>-0.7764571353075622</v>
      </c>
      <c r="D29" s="5">
        <f>D20*D26+$B$6*D24</f>
        <v>-1.4999999999999998</v>
      </c>
      <c r="E29" s="5">
        <f>E20*E26+$B$6*E24</f>
        <v>-2.1213203435596424</v>
      </c>
      <c r="F29" s="5">
        <f>F20*F26+$B$6*F24</f>
        <v>-2.598076211353316</v>
      </c>
      <c r="G29" s="5">
        <f>G20*G26+$B$6*G24</f>
        <v>-2.897777478867205</v>
      </c>
      <c r="H29" s="5">
        <f>H20*H26+$B$6*H24</f>
        <v>-3</v>
      </c>
      <c r="I29" s="5">
        <f>I20*I26+$B$6*I24</f>
        <v>-2.897777478867205</v>
      </c>
      <c r="J29" s="5">
        <f>J20*J26+$B$6*J24</f>
        <v>-2.598076211353316</v>
      </c>
      <c r="K29" s="5">
        <f>K20*K26+$B$6*K24</f>
        <v>-2.121320343559643</v>
      </c>
      <c r="L29" s="5">
        <f>L20*L26+$B$6*L24</f>
        <v>-1.4999999999999998</v>
      </c>
      <c r="M29" s="5">
        <f>M20*M26+$B$6*M24</f>
        <v>-0.7764571353075631</v>
      </c>
      <c r="N29" s="5">
        <f>N20*N26+$B$6*N24</f>
        <v>-3.67544536472586E-16</v>
      </c>
      <c r="O29" s="5">
        <f>O20*O26+$B$6*O24</f>
        <v>0.7764571353075624</v>
      </c>
      <c r="P29" s="5">
        <f>P20*P26+$B$6*P24</f>
        <v>1.5000000000000004</v>
      </c>
      <c r="Q29" s="5">
        <f>Q20*Q26+$B$6*Q24</f>
        <v>2.1213203435596424</v>
      </c>
      <c r="R29" s="5">
        <f>R20*R26+$B$6*R24</f>
        <v>2.598076211353315</v>
      </c>
      <c r="S29" s="5">
        <f>S20*S26+$B$6*S24</f>
        <v>2.897777478867205</v>
      </c>
      <c r="T29" s="5">
        <f>T20*T26+$B$6*T24</f>
        <v>3</v>
      </c>
      <c r="U29" s="5">
        <f>U20*U26+$B$6*U24</f>
        <v>2.897777478867205</v>
      </c>
      <c r="V29" s="5">
        <f>V20*V26+$B$6*V24</f>
        <v>2.598076211353316</v>
      </c>
      <c r="W29" s="5">
        <f>W20*W26+$B$6*W24</f>
        <v>2.121320343559643</v>
      </c>
      <c r="X29" s="5">
        <f>X20*X26+$B$6*X24</f>
        <v>1.5000000000000013</v>
      </c>
      <c r="Y29" s="5">
        <f>Y20*Y26+$B$6*Y24</f>
        <v>0.776457135307562</v>
      </c>
      <c r="Z29" s="5">
        <f>Z20*Z26+$B$6*Z24</f>
        <v>7.35089072945172E-16</v>
      </c>
    </row>
    <row r="30" spans="1:26" s="108" customFormat="1" ht="12.75">
      <c r="A30" s="12"/>
      <c r="B30" s="105" t="s">
        <v>333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08" customFormat="1" ht="12.75">
      <c r="A31" t="s">
        <v>24</v>
      </c>
      <c r="B31" s="5">
        <f>$D$3-$B$7*COS(B14)</f>
        <v>4.6</v>
      </c>
      <c r="C31" s="5">
        <f aca="true" t="shared" si="8" ref="C31:Z31">$D$3-$B$7*COS(RADIANS(C13))</f>
        <v>4.702222521132795</v>
      </c>
      <c r="D31" s="5">
        <f t="shared" si="8"/>
        <v>5.001923788646684</v>
      </c>
      <c r="E31" s="5">
        <f t="shared" si="8"/>
        <v>5.478679656440357</v>
      </c>
      <c r="F31" s="5">
        <f t="shared" si="8"/>
        <v>6.1</v>
      </c>
      <c r="G31" s="5">
        <f t="shared" si="8"/>
        <v>6.823542864692437</v>
      </c>
      <c r="H31" s="5">
        <f t="shared" si="8"/>
        <v>7.6</v>
      </c>
      <c r="I31" s="5">
        <f t="shared" si="8"/>
        <v>8.376457135307563</v>
      </c>
      <c r="J31" s="5">
        <f t="shared" si="8"/>
        <v>9.1</v>
      </c>
      <c r="K31" s="5">
        <f t="shared" si="8"/>
        <v>9.721320343559642</v>
      </c>
      <c r="L31" s="5">
        <f t="shared" si="8"/>
        <v>10.198076211353316</v>
      </c>
      <c r="M31" s="5">
        <f t="shared" si="8"/>
        <v>10.497777478867205</v>
      </c>
      <c r="N31" s="5">
        <f t="shared" si="8"/>
        <v>10.6</v>
      </c>
      <c r="O31" s="5">
        <f t="shared" si="8"/>
        <v>10.497777478867205</v>
      </c>
      <c r="P31" s="5">
        <f t="shared" si="8"/>
        <v>10.198076211353316</v>
      </c>
      <c r="Q31" s="5">
        <f t="shared" si="8"/>
        <v>9.721320343559643</v>
      </c>
      <c r="R31" s="5">
        <f t="shared" si="8"/>
        <v>9.100000000000001</v>
      </c>
      <c r="S31" s="5">
        <f t="shared" si="8"/>
        <v>8.376457135307561</v>
      </c>
      <c r="T31" s="5">
        <f t="shared" si="8"/>
        <v>7.6000000000000005</v>
      </c>
      <c r="U31" s="5">
        <f t="shared" si="8"/>
        <v>6.823542864692438</v>
      </c>
      <c r="V31" s="5">
        <f t="shared" si="8"/>
        <v>6.1</v>
      </c>
      <c r="W31" s="5">
        <f t="shared" si="8"/>
        <v>5.478679656440358</v>
      </c>
      <c r="X31" s="5">
        <f t="shared" si="8"/>
        <v>5.0019237886466845</v>
      </c>
      <c r="Y31" s="5">
        <f t="shared" si="8"/>
        <v>4.702222521132795</v>
      </c>
      <c r="Z31" s="5">
        <f t="shared" si="8"/>
        <v>4.6</v>
      </c>
    </row>
    <row r="32" spans="1:26" s="108" customFormat="1" ht="12.75">
      <c r="A32" t="s">
        <v>25</v>
      </c>
      <c r="B32" s="5">
        <f>$D$4-$B$7*SIN(B14)</f>
        <v>0</v>
      </c>
      <c r="C32" s="5">
        <f aca="true" t="shared" si="9" ref="C32:Z32">$D$4-$B$7*SIN(C14)</f>
        <v>-0.7764571353075622</v>
      </c>
      <c r="D32" s="5">
        <f t="shared" si="9"/>
        <v>-1.4999999999999998</v>
      </c>
      <c r="E32" s="5">
        <f t="shared" si="9"/>
        <v>-2.1213203435596424</v>
      </c>
      <c r="F32" s="5">
        <f t="shared" si="9"/>
        <v>-2.598076211353316</v>
      </c>
      <c r="G32" s="5">
        <f t="shared" si="9"/>
        <v>-2.897777478867205</v>
      </c>
      <c r="H32" s="5">
        <f t="shared" si="9"/>
        <v>-3</v>
      </c>
      <c r="I32" s="5">
        <f t="shared" si="9"/>
        <v>-2.897777478867205</v>
      </c>
      <c r="J32" s="5">
        <f t="shared" si="9"/>
        <v>-2.598076211353316</v>
      </c>
      <c r="K32" s="5">
        <f t="shared" si="9"/>
        <v>-2.121320343559643</v>
      </c>
      <c r="L32" s="5">
        <f t="shared" si="9"/>
        <v>-1.4999999999999998</v>
      </c>
      <c r="M32" s="5">
        <f t="shared" si="9"/>
        <v>-0.7764571353075631</v>
      </c>
      <c r="N32" s="5">
        <f t="shared" si="9"/>
        <v>-3.67544536472586E-16</v>
      </c>
      <c r="O32" s="5">
        <f t="shared" si="9"/>
        <v>0.7764571353075624</v>
      </c>
      <c r="P32" s="5">
        <f t="shared" si="9"/>
        <v>1.5000000000000004</v>
      </c>
      <c r="Q32" s="5">
        <f t="shared" si="9"/>
        <v>2.1213203435596424</v>
      </c>
      <c r="R32" s="5">
        <f t="shared" si="9"/>
        <v>2.598076211353315</v>
      </c>
      <c r="S32" s="5">
        <f t="shared" si="9"/>
        <v>2.897777478867205</v>
      </c>
      <c r="T32" s="5">
        <f t="shared" si="9"/>
        <v>3</v>
      </c>
      <c r="U32" s="5">
        <f t="shared" si="9"/>
        <v>2.897777478867205</v>
      </c>
      <c r="V32" s="5">
        <f t="shared" si="9"/>
        <v>2.598076211353316</v>
      </c>
      <c r="W32" s="5">
        <f t="shared" si="9"/>
        <v>2.121320343559643</v>
      </c>
      <c r="X32" s="5">
        <f t="shared" si="9"/>
        <v>1.5000000000000013</v>
      </c>
      <c r="Y32" s="5">
        <f t="shared" si="9"/>
        <v>0.776457135307562</v>
      </c>
      <c r="Z32" s="5">
        <f t="shared" si="9"/>
        <v>7.35089072945172E-16</v>
      </c>
    </row>
    <row r="33" spans="1:26" s="108" customFormat="1" ht="12.75">
      <c r="A33" t="s">
        <v>28</v>
      </c>
      <c r="B33" s="5">
        <f>(($B$8^2)-($B$9^2)+(B31^2)+(B32^2))/(2*$B$8)</f>
        <v>1.0579999999999998</v>
      </c>
      <c r="C33" s="5">
        <f aca="true" t="shared" si="10" ref="C33:Z33">(($B$8^2)-($B$9^2)+(C31^2)+(C32^2))/(2*$B$8)</f>
        <v>1.1356891160609242</v>
      </c>
      <c r="D33" s="5">
        <f t="shared" si="10"/>
        <v>1.3634620793714798</v>
      </c>
      <c r="E33" s="5">
        <f t="shared" si="10"/>
        <v>1.7257965388946712</v>
      </c>
      <c r="F33" s="5">
        <f t="shared" si="10"/>
        <v>2.1979999999999995</v>
      </c>
      <c r="G33" s="5">
        <f t="shared" si="10"/>
        <v>2.7478925771662523</v>
      </c>
      <c r="H33" s="5">
        <f t="shared" si="10"/>
        <v>3.3379999999999996</v>
      </c>
      <c r="I33" s="5">
        <f t="shared" si="10"/>
        <v>3.9281074228337483</v>
      </c>
      <c r="J33" s="5">
        <f t="shared" si="10"/>
        <v>4.478</v>
      </c>
      <c r="K33" s="5">
        <f t="shared" si="10"/>
        <v>4.950203461105327</v>
      </c>
      <c r="L33" s="5">
        <f t="shared" si="10"/>
        <v>5.31253792062852</v>
      </c>
      <c r="M33" s="5">
        <f t="shared" si="10"/>
        <v>5.540310883939076</v>
      </c>
      <c r="N33" s="5">
        <f t="shared" si="10"/>
        <v>5.618</v>
      </c>
      <c r="O33" s="5">
        <f t="shared" si="10"/>
        <v>5.540310883939076</v>
      </c>
      <c r="P33" s="5">
        <f t="shared" si="10"/>
        <v>5.31253792062852</v>
      </c>
      <c r="Q33" s="5">
        <f t="shared" si="10"/>
        <v>4.950203461105329</v>
      </c>
      <c r="R33" s="5">
        <f t="shared" si="10"/>
        <v>4.4780000000000015</v>
      </c>
      <c r="S33" s="5">
        <f t="shared" si="10"/>
        <v>3.928107422833746</v>
      </c>
      <c r="T33" s="5">
        <f t="shared" si="10"/>
        <v>3.338</v>
      </c>
      <c r="U33" s="5">
        <f t="shared" si="10"/>
        <v>2.7478925771662532</v>
      </c>
      <c r="V33" s="5">
        <f t="shared" si="10"/>
        <v>2.1979999999999995</v>
      </c>
      <c r="W33" s="5">
        <f t="shared" si="10"/>
        <v>1.7257965388946719</v>
      </c>
      <c r="X33" s="5">
        <f t="shared" si="10"/>
        <v>1.3634620793714802</v>
      </c>
      <c r="Y33" s="5">
        <f t="shared" si="10"/>
        <v>1.1356891160609242</v>
      </c>
      <c r="Z33" s="5">
        <f t="shared" si="10"/>
        <v>1.0579999999999998</v>
      </c>
    </row>
    <row r="34" spans="1:26" s="108" customFormat="1" ht="12.75">
      <c r="A34" t="s">
        <v>27</v>
      </c>
      <c r="B34" s="5">
        <f>(B31^2)+(B32^2)-B33^2</f>
        <v>20.040635999999996</v>
      </c>
      <c r="C34" s="5">
        <f aca="true" t="shared" si="11" ref="C34:Z34">(C31^2)+(C32^2)-C33^2</f>
        <v>21.423992552879238</v>
      </c>
      <c r="D34" s="5">
        <f t="shared" si="11"/>
        <v>25.410212745545593</v>
      </c>
      <c r="E34" s="5">
        <f t="shared" si="11"/>
        <v>31.537557084232596</v>
      </c>
      <c r="F34" s="5">
        <f t="shared" si="11"/>
        <v>39.128795999999994</v>
      </c>
      <c r="G34" s="5">
        <f t="shared" si="11"/>
        <v>47.406937927679664</v>
      </c>
      <c r="H34" s="5">
        <f t="shared" si="11"/>
        <v>55.61775599999999</v>
      </c>
      <c r="I34" s="5">
        <f t="shared" si="11"/>
        <v>63.13212053135337</v>
      </c>
      <c r="J34" s="5">
        <f t="shared" si="11"/>
        <v>69.507516</v>
      </c>
      <c r="K34" s="5">
        <f t="shared" si="11"/>
        <v>74.49955491576739</v>
      </c>
      <c r="L34" s="5">
        <f t="shared" si="11"/>
        <v>78.02769925445439</v>
      </c>
      <c r="M34" s="5">
        <f t="shared" si="11"/>
        <v>80.11117298808773</v>
      </c>
      <c r="N34" s="5">
        <f t="shared" si="11"/>
        <v>80.798076</v>
      </c>
      <c r="O34" s="5">
        <f t="shared" si="11"/>
        <v>80.11117298808773</v>
      </c>
      <c r="P34" s="5">
        <f t="shared" si="11"/>
        <v>78.02769925445439</v>
      </c>
      <c r="Q34" s="5">
        <f t="shared" si="11"/>
        <v>74.4995549157674</v>
      </c>
      <c r="R34" s="5">
        <f t="shared" si="11"/>
        <v>69.50751600000001</v>
      </c>
      <c r="S34" s="5">
        <f t="shared" si="11"/>
        <v>63.132120531353344</v>
      </c>
      <c r="T34" s="5">
        <f t="shared" si="11"/>
        <v>55.61775600000001</v>
      </c>
      <c r="U34" s="5">
        <f t="shared" si="11"/>
        <v>47.40693792767967</v>
      </c>
      <c r="V34" s="5">
        <f t="shared" si="11"/>
        <v>39.128795999999994</v>
      </c>
      <c r="W34" s="5">
        <f t="shared" si="11"/>
        <v>31.53755708423261</v>
      </c>
      <c r="X34" s="5">
        <f t="shared" si="11"/>
        <v>25.410212745545603</v>
      </c>
      <c r="Y34" s="5">
        <f t="shared" si="11"/>
        <v>21.423992552879238</v>
      </c>
      <c r="Z34" s="5">
        <f t="shared" si="11"/>
        <v>20.040635999999996</v>
      </c>
    </row>
    <row r="35" spans="1:26" s="108" customFormat="1" ht="12.75">
      <c r="A35" t="s">
        <v>26</v>
      </c>
      <c r="B35" s="5">
        <f>(B32+SQRT(B34))/(B33+B31)</f>
        <v>0.7912118933399584</v>
      </c>
      <c r="C35" s="5">
        <f aca="true" t="shared" si="12" ref="C35:Z35">(C32+SQRT(C34))/(C33+C31)</f>
        <v>0.6598504741813691</v>
      </c>
      <c r="D35" s="5">
        <f t="shared" si="12"/>
        <v>0.5562670417857539</v>
      </c>
      <c r="E35" s="5">
        <f t="shared" si="12"/>
        <v>0.48504714237862456</v>
      </c>
      <c r="F35" s="5">
        <f t="shared" si="12"/>
        <v>0.4407357459909057</v>
      </c>
      <c r="G35" s="5">
        <f t="shared" si="12"/>
        <v>0.41660335891902917</v>
      </c>
      <c r="H35" s="5">
        <f t="shared" si="12"/>
        <v>0.40754537304924615</v>
      </c>
      <c r="I35" s="5">
        <f t="shared" si="12"/>
        <v>0.41023758968987234</v>
      </c>
      <c r="J35" s="5">
        <f t="shared" si="12"/>
        <v>0.42267201034399526</v>
      </c>
      <c r="K35" s="5">
        <f t="shared" si="12"/>
        <v>0.44371615456266605</v>
      </c>
      <c r="L35" s="5">
        <f t="shared" si="12"/>
        <v>0.4727942314995104</v>
      </c>
      <c r="M35" s="5">
        <f t="shared" si="12"/>
        <v>0.5096634456141479</v>
      </c>
      <c r="N35" s="5">
        <f t="shared" si="12"/>
        <v>0.5542468245138262</v>
      </c>
      <c r="O35" s="5">
        <f t="shared" si="12"/>
        <v>0.606490089506226</v>
      </c>
      <c r="P35" s="5">
        <f t="shared" si="12"/>
        <v>0.666210170705567</v>
      </c>
      <c r="Q35" s="5">
        <f t="shared" si="12"/>
        <v>0.7328913447886664</v>
      </c>
      <c r="R35" s="5">
        <f t="shared" si="12"/>
        <v>0.8053610973013254</v>
      </c>
      <c r="S35" s="5">
        <f t="shared" si="12"/>
        <v>0.881246127241068</v>
      </c>
      <c r="T35" s="5">
        <f t="shared" si="12"/>
        <v>0.9560917252160044</v>
      </c>
      <c r="U35" s="5">
        <f t="shared" si="12"/>
        <v>1.0221086661364553</v>
      </c>
      <c r="V35" s="5">
        <f t="shared" si="12"/>
        <v>1.0669290965219533</v>
      </c>
      <c r="W35" s="5">
        <f t="shared" si="12"/>
        <v>1.0739366843923017</v>
      </c>
      <c r="X35" s="5">
        <f t="shared" si="12"/>
        <v>1.0275660426951896</v>
      </c>
      <c r="Y35" s="5">
        <f t="shared" si="12"/>
        <v>0.9258555744849444</v>
      </c>
      <c r="Z35" s="5">
        <f t="shared" si="12"/>
        <v>0.7912118933399586</v>
      </c>
    </row>
    <row r="36" spans="1:26" s="108" customFormat="1" ht="12.75">
      <c r="A36" t="s">
        <v>29</v>
      </c>
      <c r="B36" s="5">
        <f>2*(ATAN(B35))</f>
        <v>1.3387186439321836</v>
      </c>
      <c r="C36" s="5">
        <f aca="true" t="shared" si="13" ref="C36:Z36">2*(ATAN(C35))</f>
        <v>1.1665376884128897</v>
      </c>
      <c r="D36" s="5">
        <f t="shared" si="13"/>
        <v>1.0152840460903243</v>
      </c>
      <c r="E36" s="5">
        <f t="shared" si="13"/>
        <v>0.9032278502849337</v>
      </c>
      <c r="F36" s="5">
        <f t="shared" si="13"/>
        <v>0.8302462330885548</v>
      </c>
      <c r="G36" s="5">
        <f t="shared" si="13"/>
        <v>0.7894743515823042</v>
      </c>
      <c r="H36" s="5">
        <f t="shared" si="13"/>
        <v>0.7739880757071619</v>
      </c>
      <c r="I36" s="5">
        <f t="shared" si="13"/>
        <v>0.7786012250158707</v>
      </c>
      <c r="J36" s="5">
        <f t="shared" si="13"/>
        <v>0.7997943359639127</v>
      </c>
      <c r="K36" s="5">
        <f t="shared" si="13"/>
        <v>0.8352320112729016</v>
      </c>
      <c r="L36" s="5">
        <f t="shared" si="13"/>
        <v>0.8832941788408123</v>
      </c>
      <c r="M36" s="5">
        <f t="shared" si="13"/>
        <v>0.9426968920497557</v>
      </c>
      <c r="N36" s="5">
        <f t="shared" si="13"/>
        <v>1.0121957614520958</v>
      </c>
      <c r="O36" s="5">
        <f t="shared" si="13"/>
        <v>1.0903559281992121</v>
      </c>
      <c r="P36" s="5">
        <f t="shared" si="13"/>
        <v>1.1753730025859856</v>
      </c>
      <c r="Q36" s="5">
        <f t="shared" si="13"/>
        <v>1.2649227082399281</v>
      </c>
      <c r="R36" s="5">
        <f t="shared" si="13"/>
        <v>1.3560027316981662</v>
      </c>
      <c r="S36" s="5">
        <f t="shared" si="13"/>
        <v>1.4447133958194944</v>
      </c>
      <c r="T36" s="5">
        <f t="shared" si="13"/>
        <v>1.5259099834497734</v>
      </c>
      <c r="U36" s="5">
        <f t="shared" si="13"/>
        <v>1.5926623972068736</v>
      </c>
      <c r="V36" s="5">
        <f t="shared" si="13"/>
        <v>1.6355355760165573</v>
      </c>
      <c r="W36" s="5">
        <f t="shared" si="13"/>
        <v>1.6420669547763578</v>
      </c>
      <c r="X36" s="5">
        <f t="shared" si="13"/>
        <v>1.5979859165355943</v>
      </c>
      <c r="Y36" s="5">
        <f t="shared" si="13"/>
        <v>1.4938353889988816</v>
      </c>
      <c r="Z36" s="5">
        <f t="shared" si="13"/>
        <v>1.3387186439321836</v>
      </c>
    </row>
    <row r="37" spans="1:26" s="108" customFormat="1" ht="12.75">
      <c r="A37" t="s">
        <v>30</v>
      </c>
      <c r="B37" s="5">
        <f>ACOS(($B$8*COS(B36)-B31)/$B$9)</f>
        <v>1.80287400965761</v>
      </c>
      <c r="C37" s="5">
        <f aca="true" t="shared" si="14" ref="C37:Z37">ACOS(($B$8*COS(C36)-C31)/$B$9)</f>
        <v>1.6477572645909118</v>
      </c>
      <c r="D37" s="5">
        <f t="shared" si="14"/>
        <v>1.5436067370541988</v>
      </c>
      <c r="E37" s="5">
        <f t="shared" si="14"/>
        <v>1.4995256988134351</v>
      </c>
      <c r="F37" s="5">
        <f t="shared" si="14"/>
        <v>1.506057077573236</v>
      </c>
      <c r="G37" s="5">
        <f t="shared" si="14"/>
        <v>1.5489302563829195</v>
      </c>
      <c r="H37" s="5">
        <f t="shared" si="14"/>
        <v>1.61568267014002</v>
      </c>
      <c r="I37" s="5">
        <f t="shared" si="14"/>
        <v>1.6968792577702987</v>
      </c>
      <c r="J37" s="5">
        <f t="shared" si="14"/>
        <v>1.785589921891627</v>
      </c>
      <c r="K37" s="5">
        <f t="shared" si="14"/>
        <v>1.8766699453498652</v>
      </c>
      <c r="L37" s="5">
        <f t="shared" si="14"/>
        <v>1.9662196510038077</v>
      </c>
      <c r="M37" s="5">
        <f t="shared" si="14"/>
        <v>2.0512367253905808</v>
      </c>
      <c r="N37" s="5">
        <f t="shared" si="14"/>
        <v>2.129396892137697</v>
      </c>
      <c r="O37" s="5">
        <f t="shared" si="14"/>
        <v>2.1988957615400375</v>
      </c>
      <c r="P37" s="5">
        <f t="shared" si="14"/>
        <v>2.258298474748981</v>
      </c>
      <c r="Q37" s="5">
        <f t="shared" si="14"/>
        <v>2.306360642316892</v>
      </c>
      <c r="R37" s="5">
        <f t="shared" si="14"/>
        <v>2.3417983176258805</v>
      </c>
      <c r="S37" s="5">
        <f t="shared" si="14"/>
        <v>2.362991428573922</v>
      </c>
      <c r="T37" s="5">
        <f t="shared" si="14"/>
        <v>2.3676045778826316</v>
      </c>
      <c r="U37" s="5">
        <f t="shared" si="14"/>
        <v>2.352118302007489</v>
      </c>
      <c r="V37" s="5">
        <f t="shared" si="14"/>
        <v>2.3113464205012386</v>
      </c>
      <c r="W37" s="5">
        <f t="shared" si="14"/>
        <v>2.2383648033048593</v>
      </c>
      <c r="X37" s="5">
        <f t="shared" si="14"/>
        <v>2.126308607499469</v>
      </c>
      <c r="Y37" s="5">
        <f t="shared" si="14"/>
        <v>1.9750549651769038</v>
      </c>
      <c r="Z37" s="5">
        <f t="shared" si="14"/>
        <v>1.80287400965761</v>
      </c>
    </row>
    <row r="38" spans="1:26" s="108" customFormat="1" ht="12.75">
      <c r="A38" t="s">
        <v>34</v>
      </c>
      <c r="B38" s="5">
        <f>-B20*($B$7*SIN(B14-B37))/($B$8*SIN(B36-B37))</f>
        <v>-0.6521739130434784</v>
      </c>
      <c r="C38" s="5">
        <f>-C20*($B$7*SIN(C14-C37))/($B$8*SIN(C36-C37))</f>
        <v>-0.6371028185380684</v>
      </c>
      <c r="D38" s="5">
        <f>-D20*($B$7*SIN(D14-D37))/($B$8*SIN(D36-D37))</f>
        <v>-0.5071236699389645</v>
      </c>
      <c r="E38" s="5">
        <f>-E20*($B$7*SIN(E14-E37))/($B$8*SIN(E36-E37))</f>
        <v>-0.34988145981771274</v>
      </c>
      <c r="F38" s="5">
        <f>-F20*($B$7*SIN(F14-F37))/($B$8*SIN(F36-F37))</f>
        <v>-0.21242424481484348</v>
      </c>
      <c r="G38" s="5">
        <f>-G20*($B$7*SIN(G14-G37))/($B$8*SIN(G36-G37))</f>
        <v>-0.10354185116476737</v>
      </c>
      <c r="H38" s="5">
        <f>-H20*($B$7*SIN(H14-H37))/($B$8*SIN(H36-H37))</f>
        <v>-0.018050236889644144</v>
      </c>
      <c r="I38" s="5">
        <f>-I20*($B$7*SIN(I14-I37))/($B$8*SIN(I36-I37))</f>
        <v>0.05108513566849834</v>
      </c>
      <c r="J38" s="5">
        <f>-J20*($B$7*SIN(J14-J37))/($B$8*SIN(J36-J37))</f>
        <v>0.1093617472480454</v>
      </c>
      <c r="K38" s="5">
        <f>-K20*($B$7*SIN(K14-K37))/($B$8*SIN(K36-K37))</f>
        <v>0.1603547775995713</v>
      </c>
      <c r="L38" s="5">
        <f>-L20*($B$7*SIN(L14-L37))/($B$8*SIN(L36-L37))</f>
        <v>0.20601447998025776</v>
      </c>
      <c r="M38" s="5">
        <f>-M20*($B$7*SIN(M14-M37))/($B$8*SIN(M36-M37))</f>
        <v>0.2470111352688866</v>
      </c>
      <c r="N38" s="5">
        <f>-N20*($B$7*SIN(N14-N37))/($B$8*SIN(N36-N37))</f>
        <v>0.28301886792452835</v>
      </c>
      <c r="O38" s="5">
        <f>-O20*($B$7*SIN(O14-O37))/($B$8*SIN(O36-O37))</f>
        <v>0.31294135637421416</v>
      </c>
      <c r="P38" s="5">
        <f>-P20*($B$7*SIN(P14-P37))/($B$8*SIN(P36-P37))</f>
        <v>0.3350711486920055</v>
      </c>
      <c r="Q38" s="5">
        <f>-Q20*($B$7*SIN(Q14-Q37))/($B$8*SIN(Q36-Q37))</f>
        <v>0.3471402134334598</v>
      </c>
      <c r="R38" s="5">
        <f>-R20*($B$7*SIN(R14-R37))/($B$8*SIN(R36-R37))</f>
        <v>0.34619877084038686</v>
      </c>
      <c r="S38" s="5">
        <f>-S20*($B$7*SIN(S14-S37))/($B$8*SIN(S36-S37))</f>
        <v>0.3282597402307407</v>
      </c>
      <c r="T38" s="5">
        <f>-T20*($B$7*SIN(T14-T37))/($B$8*SIN(T36-T37))</f>
        <v>0.28767276534979996</v>
      </c>
      <c r="U38" s="5">
        <f>-U20*($B$7*SIN(U14-U37))/($B$8*SIN(U36-U37))</f>
        <v>0.21631648425680322</v>
      </c>
      <c r="V38" s="5">
        <f>-V20*($B$7*SIN(V14-V37))/($B$8*SIN(V36-V37))</f>
        <v>0.10323407193040306</v>
      </c>
      <c r="W38" s="5">
        <f>-W20*($B$7*SIN(W14-W37))/($B$8*SIN(W36-W37))</f>
        <v>-0.06279955156122789</v>
      </c>
      <c r="X38" s="5">
        <f>-X20*($B$7*SIN(X14-X37))/($B$8*SIN(X36-X37))</f>
        <v>-0.2809715304232293</v>
      </c>
      <c r="Y38" s="5">
        <f>-Y20*($B$7*SIN(Y14-Y37))/($B$8*SIN(Y36-Y37))</f>
        <v>-0.5096114235214754</v>
      </c>
      <c r="Z38" s="5">
        <f>-Z20*($B$7*SIN(Z14-Z37))/($B$8*SIN(Z36-Z37))</f>
        <v>-0.6521739130434784</v>
      </c>
    </row>
    <row r="39" spans="1:26" s="108" customFormat="1" ht="12.75">
      <c r="A39" t="s">
        <v>35</v>
      </c>
      <c r="B39" s="5">
        <f>-B20*($B$7*SIN(B14-B36))/($B$9*SIN(B36-B37))</f>
        <v>-0.6521739130434784</v>
      </c>
      <c r="C39" s="5">
        <f>-C20*($B$7*SIN(C14-C36))/($B$9*SIN(C36-C37))</f>
        <v>-0.5096114235214757</v>
      </c>
      <c r="D39" s="5">
        <f>-D20*($B$7*SIN(D14-D36))/($B$9*SIN(D36-D37))</f>
        <v>-0.2809715304232296</v>
      </c>
      <c r="E39" s="5">
        <f>-E20*($B$7*SIN(E14-E36))/($B$9*SIN(E36-E37))</f>
        <v>-0.06279955156122792</v>
      </c>
      <c r="F39" s="5">
        <f>-F20*($B$7*SIN(F14-F36))/($B$9*SIN(F36-F37))</f>
        <v>0.10323407193040296</v>
      </c>
      <c r="G39" s="5">
        <f>-G20*($B$7*SIN(G14-G36))/($B$9*SIN(G36-G37))</f>
        <v>0.2163164842568031</v>
      </c>
      <c r="H39" s="5">
        <f>-H20*($B$7*SIN(H14-H36))/($B$9*SIN(H36-H37))</f>
        <v>0.2876727653497999</v>
      </c>
      <c r="I39" s="5">
        <f>-I20*($B$7*SIN(I14-I36))/($B$9*SIN(I36-I37))</f>
        <v>0.32825974023074084</v>
      </c>
      <c r="J39" s="5">
        <f>-J20*($B$7*SIN(J14-J36))/($B$9*SIN(J36-J37))</f>
        <v>0.3461987708403868</v>
      </c>
      <c r="K39" s="5">
        <f>-K20*($B$7*SIN(K14-K36))/($B$9*SIN(K36-K37))</f>
        <v>0.3471402134334598</v>
      </c>
      <c r="L39" s="5">
        <f>-L20*($B$7*SIN(L14-L36))/($B$9*SIN(L36-L37))</f>
        <v>0.3350711486920055</v>
      </c>
      <c r="M39" s="5">
        <f>-M20*($B$7*SIN(M14-M36))/($B$9*SIN(M36-M37))</f>
        <v>0.3129413563742142</v>
      </c>
      <c r="N39" s="5">
        <f>-N20*($B$7*SIN(N14-N36))/($B$9*SIN(N36-N37))</f>
        <v>0.2830188679245283</v>
      </c>
      <c r="O39" s="5">
        <f>-O20*($B$7*SIN(O14-O36))/($B$9*SIN(O36-O37))</f>
        <v>0.24701113526888652</v>
      </c>
      <c r="P39" s="5">
        <f>-P20*($B$7*SIN(P14-P36))/($B$9*SIN(P36-P37))</f>
        <v>0.20601447998025774</v>
      </c>
      <c r="Q39" s="5">
        <f>-Q20*($B$7*SIN(Q14-Q36))/($B$9*SIN(Q36-Q37))</f>
        <v>0.1603547775995715</v>
      </c>
      <c r="R39" s="5">
        <f>-R20*($B$7*SIN(R14-R36))/($B$9*SIN(R36-R37))</f>
        <v>0.1093617472480456</v>
      </c>
      <c r="S39" s="5">
        <f>-S20*($B$7*SIN(S14-S36))/($B$9*SIN(S36-S37))</f>
        <v>0.0510851356684983</v>
      </c>
      <c r="T39" s="5">
        <f>-T20*($B$7*SIN(T14-T36))/($B$9*SIN(T36-T37))</f>
        <v>-0.018050236889643915</v>
      </c>
      <c r="U39" s="5">
        <f>-U20*($B$7*SIN(U14-U36))/($B$9*SIN(U36-U37))</f>
        <v>-0.10354185116476729</v>
      </c>
      <c r="V39" s="5">
        <f>-V20*($B$7*SIN(V14-V36))/($B$9*SIN(V36-V37))</f>
        <v>-0.21242424481484348</v>
      </c>
      <c r="W39" s="5">
        <f>-W20*($B$7*SIN(W14-W36))/($B$9*SIN(W36-W37))</f>
        <v>-0.3498814598177127</v>
      </c>
      <c r="X39" s="5">
        <f>-X20*($B$7*SIN(X14-X36))/($B$9*SIN(X36-X37))</f>
        <v>-0.5071236699389642</v>
      </c>
      <c r="Y39" s="5">
        <f>-Y20*($B$7*SIN(Y14-Y36))/($B$9*SIN(Y36-Y37))</f>
        <v>-0.6371028185380679</v>
      </c>
      <c r="Z39" s="5">
        <f>-Z20*($B$7*SIN(Z14-Z36))/($B$9*SIN(Z36-Z37))</f>
        <v>-0.6521739130434786</v>
      </c>
    </row>
    <row r="40" spans="1:26" s="108" customFormat="1" ht="12.75">
      <c r="A40" t="s">
        <v>37</v>
      </c>
      <c r="B40" s="5">
        <f>$B$6*$B$7*SIN(B14)+($B$5^2)*$B$7*COS(B14)+(B38^2)*$B$8*COS(B36)-(B39^2)*$B$9*COS(B37)</f>
        <v>4.9565217391304355</v>
      </c>
      <c r="C40" s="5">
        <f aca="true" t="shared" si="15" ref="C40:Z40">$B$6*$B$7*SIN(C14)+($B$5^2)*$B$7*COS(C14)+(C38^2)*$B$8*COS(C36)-(C39^2)*$B$9*COS(C37)</f>
        <v>4.694006678296016</v>
      </c>
      <c r="D40" s="5">
        <f t="shared" si="15"/>
        <v>3.932896919936771</v>
      </c>
      <c r="E40" s="5">
        <f t="shared" si="15"/>
        <v>2.876369234220524</v>
      </c>
      <c r="F40" s="5">
        <f t="shared" si="15"/>
        <v>1.7975547199174213</v>
      </c>
      <c r="G40" s="5">
        <f t="shared" si="15"/>
        <v>0.8417248780317159</v>
      </c>
      <c r="H40" s="5">
        <f t="shared" si="15"/>
        <v>0.03946346786559819</v>
      </c>
      <c r="I40" s="5">
        <f t="shared" si="15"/>
        <v>-0.6223785290820866</v>
      </c>
      <c r="J40" s="5">
        <f t="shared" si="15"/>
        <v>-1.1611934353828477</v>
      </c>
      <c r="K40" s="5">
        <f t="shared" si="15"/>
        <v>-1.585903944060202</v>
      </c>
      <c r="L40" s="5">
        <f t="shared" si="15"/>
        <v>-1.8962626992426501</v>
      </c>
      <c r="M40" s="5">
        <f t="shared" si="15"/>
        <v>-2.086637955426417</v>
      </c>
      <c r="N40" s="5">
        <f t="shared" si="15"/>
        <v>-2.150943396226415</v>
      </c>
      <c r="O40" s="5">
        <f t="shared" si="15"/>
        <v>-2.086637955426418</v>
      </c>
      <c r="P40" s="5">
        <f t="shared" si="15"/>
        <v>-1.8962626992426501</v>
      </c>
      <c r="Q40" s="5">
        <f t="shared" si="15"/>
        <v>-1.585903944060202</v>
      </c>
      <c r="R40" s="5">
        <f t="shared" si="15"/>
        <v>-1.1611934353828492</v>
      </c>
      <c r="S40" s="5">
        <f t="shared" si="15"/>
        <v>-0.622378529082086</v>
      </c>
      <c r="T40" s="5">
        <f t="shared" si="15"/>
        <v>0.039463467865597325</v>
      </c>
      <c r="U40" s="5">
        <f t="shared" si="15"/>
        <v>0.8417248780317145</v>
      </c>
      <c r="V40" s="5">
        <f t="shared" si="15"/>
        <v>1.7975547199174213</v>
      </c>
      <c r="W40" s="5">
        <f t="shared" si="15"/>
        <v>2.8763692342205225</v>
      </c>
      <c r="X40" s="5">
        <f t="shared" si="15"/>
        <v>3.9328969199367685</v>
      </c>
      <c r="Y40" s="5">
        <f t="shared" si="15"/>
        <v>4.694006678296014</v>
      </c>
      <c r="Z40" s="5">
        <f t="shared" si="15"/>
        <v>4.9565217391304355</v>
      </c>
    </row>
    <row r="41" spans="1:26" s="108" customFormat="1" ht="12.75">
      <c r="A41" t="s">
        <v>38</v>
      </c>
      <c r="B41" s="5">
        <f>-$B$6*$B$7*COS(B14)+($B$5^2)*$B$7*SIN(B14)+(B38^2)*$B$8*SIN(B36)-(B39^2)*$B$9*SIN(B37)</f>
        <v>0</v>
      </c>
      <c r="C41" s="5">
        <f aca="true" t="shared" si="16" ref="C41:Z41">-$B$6*$B$7*COS(C14)+($B$5^2)*$B$7*SIN(C14)+(C38^2)*$B$8*SIN(C36)-(C39^2)*$B$9*SIN(C37)</f>
        <v>1.9189277135069625</v>
      </c>
      <c r="D41" s="5">
        <f t="shared" si="16"/>
        <v>2.895873771028185</v>
      </c>
      <c r="E41" s="5">
        <f t="shared" si="16"/>
        <v>3.0433594649191886</v>
      </c>
      <c r="F41" s="5">
        <f t="shared" si="16"/>
        <v>2.8247862982073766</v>
      </c>
      <c r="G41" s="5">
        <f t="shared" si="16"/>
        <v>2.506077819779435</v>
      </c>
      <c r="H41" s="5">
        <f t="shared" si="16"/>
        <v>2.175554729935744</v>
      </c>
      <c r="I41" s="5">
        <f t="shared" si="16"/>
        <v>1.847113831632244</v>
      </c>
      <c r="J41" s="5">
        <f t="shared" si="16"/>
        <v>1.512860776534634</v>
      </c>
      <c r="K41" s="5">
        <f t="shared" si="16"/>
        <v>1.1628454469806773</v>
      </c>
      <c r="L41" s="5">
        <f t="shared" si="16"/>
        <v>0.7919158196728615</v>
      </c>
      <c r="M41" s="5">
        <f t="shared" si="16"/>
        <v>0.4016981640725815</v>
      </c>
      <c r="N41" s="5">
        <f t="shared" si="16"/>
        <v>0</v>
      </c>
      <c r="O41" s="5">
        <f t="shared" si="16"/>
        <v>-0.4016981640725809</v>
      </c>
      <c r="P41" s="5">
        <f t="shared" si="16"/>
        <v>-0.7919158196728621</v>
      </c>
      <c r="Q41" s="5">
        <f t="shared" si="16"/>
        <v>-1.1628454469806773</v>
      </c>
      <c r="R41" s="5">
        <f t="shared" si="16"/>
        <v>-1.512860776534633</v>
      </c>
      <c r="S41" s="5">
        <f t="shared" si="16"/>
        <v>-1.8471138316322449</v>
      </c>
      <c r="T41" s="5">
        <f t="shared" si="16"/>
        <v>-2.175554729935744</v>
      </c>
      <c r="U41" s="5">
        <f t="shared" si="16"/>
        <v>-2.5060778197794344</v>
      </c>
      <c r="V41" s="5">
        <f t="shared" si="16"/>
        <v>-2.8247862982073757</v>
      </c>
      <c r="W41" s="5">
        <f t="shared" si="16"/>
        <v>-3.0433594649191886</v>
      </c>
      <c r="X41" s="5">
        <f t="shared" si="16"/>
        <v>-2.8958737710281857</v>
      </c>
      <c r="Y41" s="5">
        <f t="shared" si="16"/>
        <v>-1.9189277135069605</v>
      </c>
      <c r="Z41" s="5">
        <f t="shared" si="16"/>
        <v>0</v>
      </c>
    </row>
    <row r="42" spans="1:26" s="109" customFormat="1" ht="12.75">
      <c r="A42" s="71" t="s">
        <v>39</v>
      </c>
      <c r="B42" s="71">
        <f>(B40*COS(B37)+B41*SIN(B37))/($B$8*SIN(B37-B36))</f>
        <v>-0.25465317854532843</v>
      </c>
      <c r="C42" s="71">
        <f aca="true" t="shared" si="17" ref="C42:Z42">(C40*COS(C37)+C41*SIN(C37))/($B$8*SIN(C37-C36))</f>
        <v>0.33538154209713983</v>
      </c>
      <c r="D42" s="71">
        <f t="shared" si="17"/>
        <v>0.5954792333857327</v>
      </c>
      <c r="E42" s="71">
        <f t="shared" si="17"/>
        <v>0.5770224448698265</v>
      </c>
      <c r="F42" s="71">
        <f t="shared" si="17"/>
        <v>0.46922756446219577</v>
      </c>
      <c r="G42" s="71">
        <f t="shared" si="17"/>
        <v>0.366562621000652</v>
      </c>
      <c r="H42" s="71">
        <f t="shared" si="17"/>
        <v>0.29118676995447834</v>
      </c>
      <c r="I42" s="71">
        <f t="shared" si="17"/>
        <v>0.24047545562926903</v>
      </c>
      <c r="J42" s="71">
        <f t="shared" si="17"/>
        <v>0.20697794853433074</v>
      </c>
      <c r="K42" s="71">
        <f t="shared" si="17"/>
        <v>0.18379922937809146</v>
      </c>
      <c r="L42" s="71">
        <f t="shared" si="17"/>
        <v>0.16542402097755657</v>
      </c>
      <c r="M42" s="71">
        <f t="shared" si="17"/>
        <v>0.14754547321574527</v>
      </c>
      <c r="N42" s="71">
        <f t="shared" si="17"/>
        <v>0.12682484543271005</v>
      </c>
      <c r="O42" s="71">
        <f t="shared" si="17"/>
        <v>0.1006753053640314</v>
      </c>
      <c r="P42" s="71">
        <f t="shared" si="17"/>
        <v>0.06694709881156378</v>
      </c>
      <c r="Q42" s="71">
        <f t="shared" si="17"/>
        <v>0.023398089039717893</v>
      </c>
      <c r="R42" s="71">
        <f t="shared" si="17"/>
        <v>-0.033088242292318465</v>
      </c>
      <c r="S42" s="71">
        <f t="shared" si="17"/>
        <v>-0.10749759801843302</v>
      </c>
      <c r="T42" s="71">
        <f t="shared" si="17"/>
        <v>-0.20769298891635574</v>
      </c>
      <c r="U42" s="71">
        <f t="shared" si="17"/>
        <v>-0.3445081458425133</v>
      </c>
      <c r="V42" s="71">
        <f t="shared" si="17"/>
        <v>-0.5271955736400938</v>
      </c>
      <c r="W42" s="71">
        <f t="shared" si="17"/>
        <v>-0.7426749613154954</v>
      </c>
      <c r="X42" s="71">
        <f t="shared" si="17"/>
        <v>-0.8995594327079838</v>
      </c>
      <c r="Y42" s="71">
        <f t="shared" si="17"/>
        <v>-0.7800575257140033</v>
      </c>
      <c r="Z42" s="71">
        <f t="shared" si="17"/>
        <v>-0.25465317854532843</v>
      </c>
    </row>
    <row r="43" spans="1:26" s="108" customFormat="1" ht="12.75">
      <c r="A43" t="s">
        <v>40</v>
      </c>
      <c r="B43" s="5">
        <f>(B40*COS(B36)+B41*SIN(B36))/($B$9*SIN(B37-B36))</f>
        <v>0.25465317854532804</v>
      </c>
      <c r="C43" s="5">
        <f aca="true" t="shared" si="18" ref="C43:Z43">(C40*COS(C36)+C41*SIN(C36))/($B$9*SIN(C37-C36))</f>
        <v>0.7800575257140041</v>
      </c>
      <c r="D43" s="5">
        <f t="shared" si="18"/>
        <v>0.899559432707984</v>
      </c>
      <c r="E43" s="5">
        <f t="shared" si="18"/>
        <v>0.7426749613154956</v>
      </c>
      <c r="F43" s="5">
        <f t="shared" si="18"/>
        <v>0.5271955736400941</v>
      </c>
      <c r="G43" s="5">
        <f t="shared" si="18"/>
        <v>0.3445081458425136</v>
      </c>
      <c r="H43" s="5">
        <f t="shared" si="18"/>
        <v>0.2076929889163559</v>
      </c>
      <c r="I43" s="5">
        <f t="shared" si="18"/>
        <v>0.10749759801843276</v>
      </c>
      <c r="J43" s="5">
        <f t="shared" si="18"/>
        <v>0.033088242292318666</v>
      </c>
      <c r="K43" s="5">
        <f t="shared" si="18"/>
        <v>-0.023398089039717827</v>
      </c>
      <c r="L43" s="5">
        <f t="shared" si="18"/>
        <v>-0.06694709881156385</v>
      </c>
      <c r="M43" s="5">
        <f t="shared" si="18"/>
        <v>-0.10067530536403127</v>
      </c>
      <c r="N43" s="5">
        <f t="shared" si="18"/>
        <v>-0.1268248454327102</v>
      </c>
      <c r="O43" s="5">
        <f t="shared" si="18"/>
        <v>-0.1475454732157453</v>
      </c>
      <c r="P43" s="5">
        <f t="shared" si="18"/>
        <v>-0.16542402097755662</v>
      </c>
      <c r="Q43" s="5">
        <f t="shared" si="18"/>
        <v>-0.18379922937809146</v>
      </c>
      <c r="R43" s="5">
        <f t="shared" si="18"/>
        <v>-0.20697794853433066</v>
      </c>
      <c r="S43" s="5">
        <f t="shared" si="18"/>
        <v>-0.24047545562926914</v>
      </c>
      <c r="T43" s="5">
        <f t="shared" si="18"/>
        <v>-0.29118676995447834</v>
      </c>
      <c r="U43" s="5">
        <f t="shared" si="18"/>
        <v>-0.36656262100065173</v>
      </c>
      <c r="V43" s="5">
        <f t="shared" si="18"/>
        <v>-0.4692275644621956</v>
      </c>
      <c r="W43" s="5">
        <f t="shared" si="18"/>
        <v>-0.5770224448698262</v>
      </c>
      <c r="X43" s="5">
        <f t="shared" si="18"/>
        <v>-0.5954792333857327</v>
      </c>
      <c r="Y43" s="5">
        <f t="shared" si="18"/>
        <v>-0.3353815420971394</v>
      </c>
      <c r="Z43" s="5">
        <f t="shared" si="18"/>
        <v>0.25465317854532804</v>
      </c>
    </row>
    <row r="44" spans="1:26" s="108" customFormat="1" ht="12.75">
      <c r="A44" t="s">
        <v>69</v>
      </c>
      <c r="B44" s="5">
        <f>DEGREES(B36)</f>
        <v>76.70292825279095</v>
      </c>
      <c r="C44" s="5">
        <f aca="true" t="shared" si="19" ref="C44:Z44">DEGREES(C36)</f>
        <v>66.83768618900565</v>
      </c>
      <c r="D44" s="5">
        <f t="shared" si="19"/>
        <v>58.171490847941335</v>
      </c>
      <c r="E44" s="5">
        <f t="shared" si="19"/>
        <v>51.75114376000089</v>
      </c>
      <c r="F44" s="5">
        <f t="shared" si="19"/>
        <v>47.56960511260899</v>
      </c>
      <c r="G44" s="5">
        <f t="shared" si="19"/>
        <v>45.233548379493335</v>
      </c>
      <c r="H44" s="5">
        <f t="shared" si="19"/>
        <v>44.34625013147242</v>
      </c>
      <c r="I44" s="5">
        <f t="shared" si="19"/>
        <v>44.61056411712512</v>
      </c>
      <c r="J44" s="5">
        <f t="shared" si="19"/>
        <v>45.82483992920043</v>
      </c>
      <c r="K44" s="5">
        <f t="shared" si="19"/>
        <v>47.85526916016046</v>
      </c>
      <c r="L44" s="5">
        <f t="shared" si="19"/>
        <v>50.609028516052284</v>
      </c>
      <c r="M44" s="5">
        <f t="shared" si="19"/>
        <v>54.01255327455077</v>
      </c>
      <c r="N44" s="5">
        <f t="shared" si="19"/>
        <v>57.99454517223575</v>
      </c>
      <c r="O44" s="5">
        <f t="shared" si="19"/>
        <v>62.472792852884275</v>
      </c>
      <c r="P44" s="5">
        <f t="shared" si="19"/>
        <v>67.34391240179617</v>
      </c>
      <c r="Q44" s="5">
        <f t="shared" si="19"/>
        <v>72.47473259240589</v>
      </c>
      <c r="R44" s="5">
        <f t="shared" si="19"/>
        <v>77.69323353451546</v>
      </c>
      <c r="S44" s="5">
        <f t="shared" si="19"/>
        <v>82.77598018647018</v>
      </c>
      <c r="T44" s="5">
        <f t="shared" si="19"/>
        <v>87.42820196854932</v>
      </c>
      <c r="U44" s="5">
        <f t="shared" si="19"/>
        <v>91.25283354914217</v>
      </c>
      <c r="V44" s="5">
        <f t="shared" si="19"/>
        <v>93.70928574924676</v>
      </c>
      <c r="W44" s="5">
        <f t="shared" si="19"/>
        <v>94.08350618658471</v>
      </c>
      <c r="X44" s="5">
        <f t="shared" si="19"/>
        <v>91.55784873883418</v>
      </c>
      <c r="Y44" s="5">
        <f t="shared" si="19"/>
        <v>85.59046307691948</v>
      </c>
      <c r="Z44" s="5">
        <f t="shared" si="19"/>
        <v>76.70292825279095</v>
      </c>
    </row>
    <row r="45" spans="1:26" s="108" customFormat="1" ht="12.75">
      <c r="A45" t="s">
        <v>70</v>
      </c>
      <c r="B45" s="5">
        <f aca="true" t="shared" si="20" ref="B45:Z45">DEGREES(B37)</f>
        <v>103.29707174720907</v>
      </c>
      <c r="C45" s="5">
        <f t="shared" si="20"/>
        <v>94.40953692308054</v>
      </c>
      <c r="D45" s="5">
        <f t="shared" si="20"/>
        <v>88.44215126116582</v>
      </c>
      <c r="E45" s="5">
        <f t="shared" si="20"/>
        <v>85.91649381341527</v>
      </c>
      <c r="F45" s="5">
        <f t="shared" si="20"/>
        <v>86.29071425075325</v>
      </c>
      <c r="G45" s="5">
        <f t="shared" si="20"/>
        <v>88.74716645085783</v>
      </c>
      <c r="H45" s="5">
        <f t="shared" si="20"/>
        <v>92.5717980314507</v>
      </c>
      <c r="I45" s="5">
        <f t="shared" si="20"/>
        <v>97.22401981352982</v>
      </c>
      <c r="J45" s="5">
        <f t="shared" si="20"/>
        <v>102.30676646548454</v>
      </c>
      <c r="K45" s="5">
        <f t="shared" si="20"/>
        <v>107.52526740759413</v>
      </c>
      <c r="L45" s="5">
        <f t="shared" si="20"/>
        <v>112.65608759820384</v>
      </c>
      <c r="M45" s="5">
        <f t="shared" si="20"/>
        <v>117.5272071471157</v>
      </c>
      <c r="N45" s="5">
        <f t="shared" si="20"/>
        <v>122.00545482776423</v>
      </c>
      <c r="O45" s="5">
        <f t="shared" si="20"/>
        <v>125.98744672544923</v>
      </c>
      <c r="P45" s="5">
        <f t="shared" si="20"/>
        <v>129.3909714839477</v>
      </c>
      <c r="Q45" s="5">
        <f t="shared" si="20"/>
        <v>132.14473083983955</v>
      </c>
      <c r="R45" s="5">
        <f t="shared" si="20"/>
        <v>134.17516007079956</v>
      </c>
      <c r="S45" s="5">
        <f t="shared" si="20"/>
        <v>135.38943588287486</v>
      </c>
      <c r="T45" s="5">
        <f t="shared" si="20"/>
        <v>135.6537498685276</v>
      </c>
      <c r="U45" s="5">
        <f t="shared" si="20"/>
        <v>134.76645162050667</v>
      </c>
      <c r="V45" s="5">
        <f t="shared" si="20"/>
        <v>132.43039488739103</v>
      </c>
      <c r="W45" s="5">
        <f t="shared" si="20"/>
        <v>128.2488562399991</v>
      </c>
      <c r="X45" s="5">
        <f t="shared" si="20"/>
        <v>121.82850915205867</v>
      </c>
      <c r="Y45" s="5">
        <f t="shared" si="20"/>
        <v>113.16231381099436</v>
      </c>
      <c r="Z45" s="5">
        <f t="shared" si="20"/>
        <v>103.29707174720907</v>
      </c>
    </row>
    <row r="46" spans="1:26" s="108" customFormat="1" ht="12.75">
      <c r="A46" s="84" t="s">
        <v>297</v>
      </c>
      <c r="B46" s="84"/>
      <c r="C46" s="84"/>
      <c r="D46" s="84"/>
      <c r="E46" s="84"/>
      <c r="F46" s="84"/>
      <c r="G46" s="84"/>
      <c r="H46" s="84"/>
      <c r="I46" s="8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08" customFormat="1" ht="12.75">
      <c r="A47" t="s">
        <v>41</v>
      </c>
      <c r="B47" s="5">
        <f>$D$3+(($D$7-$D$3)*COS(B37-$B$37))-(($D$8-$D$4)*SIN(B37-$B$37))</f>
        <v>5.299999999999998</v>
      </c>
      <c r="C47" s="5">
        <f>$D$3+(($D$7-$D$3)*COS(C37-$B$37))-(($D$8-$D$4)*SIN(C37-$B$37))</f>
        <v>6.8311501279994475</v>
      </c>
      <c r="D47" s="5">
        <f>$D$3+(($D$7-$D$3)*COS(D37-$B$37))-(($D$8-$D$4)*SIN(D37-$B$37))</f>
        <v>7.871862397726834</v>
      </c>
      <c r="E47" s="5">
        <f>$D$3+(($D$7-$D$3)*COS(E37-$B$37))-(($D$8-$D$4)*SIN(E37-$B$37))</f>
        <v>8.312103067491256</v>
      </c>
      <c r="F47" s="5">
        <f>$D$3+(($D$7-$D$3)*COS(F37-$B$37))-(($D$8-$D$4)*SIN(F37-$B$37))</f>
        <v>8.246940364933472</v>
      </c>
      <c r="G47" s="5">
        <f>$D$3+(($D$7-$D$3)*COS(G37-$B$37))-(($D$8-$D$4)*SIN(G37-$B$37))</f>
        <v>7.818643280010177</v>
      </c>
      <c r="H47" s="5">
        <f>$D$3+(($D$7-$D$3)*COS(H37-$B$37))-(($D$8-$D$4)*SIN(H37-$B$37))</f>
        <v>7.151287278495801</v>
      </c>
      <c r="I47" s="5">
        <f>$D$3+(($D$7-$D$3)*COS(I37-$B$37))-(($D$8-$D$4)*SIN(I37-$B$37))</f>
        <v>6.342508583427074</v>
      </c>
      <c r="J47" s="5">
        <f>$D$3+(($D$7-$D$3)*COS(J37-$B$37))-(($D$8-$D$4)*SIN(J37-$B$37))</f>
        <v>5.468542289605474</v>
      </c>
      <c r="K47" s="5">
        <f>$D$3+(($D$7-$D$3)*COS(K37-$B$37))-(($D$8-$D$4)*SIN(K37-$B$37))</f>
        <v>4.588736410936485</v>
      </c>
      <c r="L47" s="5">
        <f>$D$3+(($D$7-$D$3)*COS(L37-$B$37))-(($D$8-$D$4)*SIN(L37-$B$37))</f>
        <v>3.7480111889245276</v>
      </c>
      <c r="M47" s="5">
        <f>$D$3+(($D$7-$D$3)*COS(M37-$B$37))-(($D$8-$D$4)*SIN(M37-$B$37))</f>
        <v>2.978302379340213</v>
      </c>
      <c r="N47" s="5">
        <f>$D$3+(($D$7-$D$3)*COS(N37-$B$37))-(($D$8-$D$4)*SIN(N37-$B$37))</f>
        <v>2.300000000000003</v>
      </c>
      <c r="O47" s="5">
        <f>$D$3+(($D$7-$D$3)*COS(O37-$B$37))-(($D$8-$D$4)*SIN(O37-$B$37))</f>
        <v>1.7239201417925827</v>
      </c>
      <c r="P47" s="5">
        <f>$D$3+(($D$7-$D$3)*COS(P37-$B$37))-(($D$8-$D$4)*SIN(P37-$B$37))</f>
        <v>1.2539125997221543</v>
      </c>
      <c r="Q47" s="5">
        <f>$D$3+(($D$7-$D$3)*COS(Q37-$B$37))-(($D$8-$D$4)*SIN(Q37-$B$37))</f>
        <v>0.8899432455038694</v>
      </c>
      <c r="R47" s="5">
        <f>$D$3+(($D$7-$D$3)*COS(R37-$B$37))-(($D$8-$D$4)*SIN(R37-$B$37))</f>
        <v>0.6314577103945247</v>
      </c>
      <c r="S47" s="5">
        <f>$D$3+(($D$7-$D$3)*COS(S37-$B$37))-(($D$8-$D$4)*SIN(S37-$B$37))</f>
        <v>0.48103428126536585</v>
      </c>
      <c r="T47" s="5">
        <f>$D$3+(($D$7-$D$3)*COS(T37-$B$37))-(($D$8-$D$4)*SIN(T37-$B$37))</f>
        <v>0.4487127215041973</v>
      </c>
      <c r="U47" s="5">
        <f>$D$3+(($D$7-$D$3)*COS(U37-$B$37))-(($D$8-$D$4)*SIN(U37-$B$37))</f>
        <v>0.5578138552973853</v>
      </c>
      <c r="V47" s="5">
        <f>$D$3+(($D$7-$D$3)*COS(V37-$B$37))-(($D$8-$D$4)*SIN(V37-$B$37))</f>
        <v>0.8530596350665265</v>
      </c>
      <c r="W47" s="5">
        <f>$D$3+(($D$7-$D$3)*COS(W37-$B$37))-(($D$8-$D$4)*SIN(W37-$B$37))</f>
        <v>1.4092172760683894</v>
      </c>
      <c r="X47" s="5">
        <f>$D$3+(($D$7-$D$3)*COS(X37-$B$37))-(($D$8-$D$4)*SIN(X37-$B$37))</f>
        <v>2.3262138136264827</v>
      </c>
      <c r="Y47" s="5">
        <f>$D$3+(($D$7-$D$3)*COS(Y37-$B$37))-(($D$8-$D$4)*SIN(Y37-$B$37))</f>
        <v>3.6666273508677545</v>
      </c>
      <c r="Z47" s="5">
        <f>$D$3+(($D$7-$D$3)*COS(Z37-$B$37))-(($D$8-$D$4)*SIN(Z37-$B$37))</f>
        <v>5.299999999999998</v>
      </c>
    </row>
    <row r="48" spans="1:26" s="108" customFormat="1" ht="12.75">
      <c r="A48" t="s">
        <v>42</v>
      </c>
      <c r="B48" s="5">
        <f>$D$4+(($D$7-$D$3)*SIN(B37-$B$37))+(($D$8-$D$4)*COS(B37-$B$37))</f>
        <v>9.731906288081488</v>
      </c>
      <c r="C48" s="5">
        <f>$D$4+(($D$7-$D$3)*SIN(C37-$B$37))+(($D$8-$D$4)*COS(C37-$B$37))</f>
        <v>9.97039968478319</v>
      </c>
      <c r="D48" s="5">
        <f>$D$4+(($D$7-$D$3)*SIN(D37-$B$37))+(($D$8-$D$4)*COS(D37-$B$37))</f>
        <v>9.99630385876211</v>
      </c>
      <c r="E48" s="5">
        <f>$D$4+(($D$7-$D$3)*SIN(E37-$B$37))+(($D$8-$D$4)*COS(E37-$B$37))</f>
        <v>9.974613236675873</v>
      </c>
      <c r="F48" s="5">
        <f>$D$4+(($D$7-$D$3)*SIN(F37-$B$37))+(($D$8-$D$4)*COS(F37-$B$37))</f>
        <v>9.97905146615748</v>
      </c>
      <c r="G48" s="5">
        <f>$D$4+(($D$7-$D$3)*SIN(G37-$B$37))+(($D$8-$D$4)*COS(G37-$B$37))</f>
        <v>9.997609470073655</v>
      </c>
      <c r="H48" s="5">
        <f>$D$4+(($D$7-$D$3)*SIN(H37-$B$37))+(($D$8-$D$4)*COS(H37-$B$37))</f>
        <v>9.989927772189363</v>
      </c>
      <c r="I48" s="5">
        <f>$D$4+(($D$7-$D$3)*SIN(I37-$B$37))+(($D$8-$D$4)*COS(I37-$B$37))</f>
        <v>9.920620713304455</v>
      </c>
      <c r="J48" s="5">
        <f>$D$4+(($D$7-$D$3)*SIN(J37-$B$37))+(($D$8-$D$4)*COS(J37-$B$37))</f>
        <v>9.770204093507962</v>
      </c>
      <c r="K48" s="5">
        <f>$D$4+(($D$7-$D$3)*SIN(K37-$B$37))+(($D$8-$D$4)*COS(K37-$B$37))</f>
        <v>9.53584246918857</v>
      </c>
      <c r="L48" s="5">
        <f>$D$4+(($D$7-$D$3)*SIN(L37-$B$37))+(($D$8-$D$4)*COS(L37-$B$37))</f>
        <v>9.228335830438194</v>
      </c>
      <c r="M48" s="5">
        <f>$D$4+(($D$7-$D$3)*SIN(M37-$B$37))+(($D$8-$D$4)*COS(M37-$B$37))</f>
        <v>8.867914698686928</v>
      </c>
      <c r="N48" s="5">
        <f>$D$4+(($D$7-$D$3)*SIN(N37-$B$37))+(($D$8-$D$4)*COS(N37-$B$37))</f>
        <v>8.479976415061545</v>
      </c>
      <c r="O48" s="5">
        <f>$D$4+(($D$7-$D$3)*SIN(O37-$B$37))+(($D$8-$D$4)*COS(O37-$B$37))</f>
        <v>8.091457563379365</v>
      </c>
      <c r="P48" s="5">
        <f>$D$4+(($D$7-$D$3)*SIN(P37-$B$37))+(($D$8-$D$4)*COS(P37-$B$37))</f>
        <v>7.728335830438193</v>
      </c>
      <c r="Q48" s="5">
        <f>$D$4+(($D$7-$D$3)*SIN(Q37-$B$37))+(($D$8-$D$4)*COS(Q37-$B$37))</f>
        <v>7.414522125628926</v>
      </c>
      <c r="R48" s="5">
        <f>$D$4+(($D$7-$D$3)*SIN(R37-$B$37))+(($D$8-$D$4)*COS(R37-$B$37))</f>
        <v>7.172127882154648</v>
      </c>
      <c r="S48" s="5">
        <f>$D$4+(($D$7-$D$3)*SIN(S37-$B$37))+(($D$8-$D$4)*COS(S37-$B$37))</f>
        <v>7.022843234437253</v>
      </c>
      <c r="T48" s="5">
        <f>$D$4+(($D$7-$D$3)*SIN(T37-$B$37))+(($D$8-$D$4)*COS(T37-$B$37))</f>
        <v>6.98992777218936</v>
      </c>
      <c r="U48" s="5">
        <f>$D$4+(($D$7-$D$3)*SIN(U37-$B$37))+(($D$8-$D$4)*COS(U37-$B$37))</f>
        <v>7.099831991206449</v>
      </c>
      <c r="V48" s="5">
        <f>$D$4+(($D$7-$D$3)*SIN(V37-$B$37))+(($D$8-$D$4)*COS(V37-$B$37))</f>
        <v>7.380975254804164</v>
      </c>
      <c r="W48" s="5">
        <f>$D$4+(($D$7-$D$3)*SIN(W37-$B$37))+(($D$8-$D$4)*COS(W37-$B$37))</f>
        <v>7.853292893116231</v>
      </c>
      <c r="X48" s="5">
        <f>$D$4+(($D$7-$D$3)*SIN(X37-$B$37))+(($D$8-$D$4)*COS(X37-$B$37))</f>
        <v>8.49630385876211</v>
      </c>
      <c r="Y48" s="5">
        <f>$D$4+(($D$7-$D$3)*SIN(Y37-$B$37))+(($D$8-$D$4)*COS(Y37-$B$37))</f>
        <v>9.193942549475628</v>
      </c>
      <c r="Z48" s="5">
        <f>$D$4+(($D$7-$D$3)*SIN(Z37-$B$37))+(($D$8-$D$4)*COS(Z37-$B$37))</f>
        <v>9.731906288081488</v>
      </c>
    </row>
    <row r="49" spans="1:26" s="108" customFormat="1" ht="12.75">
      <c r="A49" t="s">
        <v>43</v>
      </c>
      <c r="B49" s="5">
        <f>-B39*(B48-$D$4)</f>
        <v>6.346895405270537</v>
      </c>
      <c r="C49" s="5">
        <f>-C39*(C48-$D$4)</f>
        <v>5.081029576440434</v>
      </c>
      <c r="D49" s="5">
        <f>-D39*(D48-$D$4)</f>
        <v>2.8086767937720256</v>
      </c>
      <c r="E49" s="5">
        <f>-E39*(E48-$D$4)</f>
        <v>0.626401238259933</v>
      </c>
      <c r="F49" s="5">
        <f>-F39*(F48-$D$4)</f>
        <v>-1.0301781168544946</v>
      </c>
      <c r="G49" s="5">
        <f>-G39*(G48-$D$4)</f>
        <v>-2.1626477315388537</v>
      </c>
      <c r="H49" s="5">
        <f>-H39*(H48-$D$4)</f>
        <v>-2.8738301478704797</v>
      </c>
      <c r="I49" s="5">
        <f>-I39*(I48-$D$4)</f>
        <v>-3.2565403782770272</v>
      </c>
      <c r="J49" s="5">
        <f>-J39*(J48-$D$4)</f>
        <v>-3.382432648032172</v>
      </c>
      <c r="K49" s="5">
        <f>-K39*(K48-$D$4)</f>
        <v>-3.3102743900219704</v>
      </c>
      <c r="L49" s="5">
        <f>-L39*(L48-$D$4)</f>
        <v>-3.092149087220518</v>
      </c>
      <c r="M49" s="5">
        <f>-M39*(M48-$D$4)</f>
        <v>-2.775137254017918</v>
      </c>
      <c r="N49" s="5">
        <f>-N39*(N48-$D$4)</f>
        <v>-2.399993325017418</v>
      </c>
      <c r="O49" s="5">
        <f>-O39*(O48-$D$4)</f>
        <v>-1.9986801187103551</v>
      </c>
      <c r="P49" s="5">
        <f>-P39*(P48-$D$4)</f>
        <v>-1.5921490872205177</v>
      </c>
      <c r="Q49" s="5">
        <f>-Q39*(Q48-$D$4)</f>
        <v>-1.1889540464623285</v>
      </c>
      <c r="R49" s="5">
        <f>-R39*(R48-$D$4)</f>
        <v>-0.7843564366788571</v>
      </c>
      <c r="S49" s="5">
        <f>-S39*(S48-$D$4)</f>
        <v>-0.3587628994098225</v>
      </c>
      <c r="T49" s="5">
        <f>-T39*(T48-$D$4)</f>
        <v>0.1261698521295189</v>
      </c>
      <c r="U49" s="5">
        <f>-U39*(U48-$D$4)</f>
        <v>0.7351297473283516</v>
      </c>
      <c r="V49" s="5">
        <f>-V39*(V48-$D$4)</f>
        <v>1.5678980944988214</v>
      </c>
      <c r="W49" s="5">
        <f>-W39*(W48-$D$4)</f>
        <v>2.7477215818195755</v>
      </c>
      <c r="X49" s="5">
        <f>-X39*(X48-$D$4)</f>
        <v>4.308676793772023</v>
      </c>
      <c r="Y49" s="5">
        <f>-Y39*(Y48-$D$4)</f>
        <v>5.857486711747993</v>
      </c>
      <c r="Z49" s="5">
        <f>-Z39*(Z48-$D$4)</f>
        <v>6.346895405270539</v>
      </c>
    </row>
    <row r="50" spans="1:26" s="108" customFormat="1" ht="12.75">
      <c r="A50" t="s">
        <v>44</v>
      </c>
      <c r="B50" s="5">
        <f>B39*(B47-$D$3)</f>
        <v>1.5000000000000013</v>
      </c>
      <c r="C50" s="5">
        <f>C39*(C47-$D$3)</f>
        <v>0.39181467774450573</v>
      </c>
      <c r="D50" s="5">
        <f>D39*(D47-$D$3)</f>
        <v>-0.07638559395383733</v>
      </c>
      <c r="E50" s="5">
        <f>E39*(E47-$D$3)</f>
        <v>-0.0447197533038257</v>
      </c>
      <c r="F50" s="5">
        <f>F39*(F47-$D$3)</f>
        <v>0.06678628816822325</v>
      </c>
      <c r="G50" s="5">
        <f>G39*(G47-$D$3)</f>
        <v>0.04729614563817724</v>
      </c>
      <c r="H50" s="5">
        <f>H39*(H47-$D$3)</f>
        <v>-0.12908242944274756</v>
      </c>
      <c r="I50" s="5">
        <f>I39*(I47-$D$3)</f>
        <v>-0.41278380574661483</v>
      </c>
      <c r="J50" s="5">
        <f>J39*(J47-$D$3)</f>
        <v>-0.7379080394368499</v>
      </c>
      <c r="K50" s="5">
        <f>K39*(K47-$D$3)</f>
        <v>-1.0453306850119148</v>
      </c>
      <c r="L50" s="5">
        <f>L39*(L47-$D$3)</f>
        <v>-1.290690315675811</v>
      </c>
      <c r="M50" s="5">
        <f>M39*(M47-$D$3)</f>
        <v>-1.4463203221607523</v>
      </c>
      <c r="N50" s="5">
        <f>N39*(N47-$D$3)</f>
        <v>-1.4999999999999991</v>
      </c>
      <c r="O50" s="5">
        <f>O39*(O47-$D$3)</f>
        <v>-1.4514571567064518</v>
      </c>
      <c r="P50" s="5">
        <f>P39*(P47-$D$3)</f>
        <v>-1.307385895677506</v>
      </c>
      <c r="Q50" s="5">
        <f>Q39*(Q47-$D$3)</f>
        <v>-1.0759896585477295</v>
      </c>
      <c r="R50" s="5">
        <f>R39*(R47-$D$3)</f>
        <v>-0.7620919605631509</v>
      </c>
      <c r="S50" s="5">
        <f>S39*(S47-$D$3)</f>
        <v>-0.3636733295609473</v>
      </c>
      <c r="T50" s="5">
        <f>T39*(T47-$D$3)</f>
        <v>0.12908242944274617</v>
      </c>
      <c r="U50" s="5">
        <f>U39*(U47-$D$3)</f>
        <v>0.7291609896693845</v>
      </c>
      <c r="V50" s="5">
        <f>V39*(V47-$D$3)</f>
        <v>1.4332137118317776</v>
      </c>
      <c r="W50" s="5">
        <f>W39*(W47-$D$3)</f>
        <v>2.1660400968634677</v>
      </c>
      <c r="X50" s="5">
        <f>X39*(X47-$D$3)</f>
        <v>2.674461805307152</v>
      </c>
      <c r="Y50" s="5">
        <f>Y39*(Y47-$D$3)</f>
        <v>2.5059628011227004</v>
      </c>
      <c r="Z50" s="5">
        <f>Z39*(Z47-$D$3)</f>
        <v>1.5000000000000018</v>
      </c>
    </row>
    <row r="51" spans="1:26" s="108" customFormat="1" ht="12.75">
      <c r="A51" t="s">
        <v>45</v>
      </c>
      <c r="B51" s="5">
        <f>-B43*(B48-$D$4)-B39*(B50)</f>
        <v>-1.4999999999999976</v>
      </c>
      <c r="C51" s="5">
        <f>-C43*(C48-$D$4)-C39*(C50)</f>
        <v>-7.577812072809676</v>
      </c>
      <c r="D51" s="5">
        <f>-D43*(D48-$D$4)-D39*(D50)</f>
        <v>-9.01373160560017</v>
      </c>
      <c r="E51" s="5">
        <f>-E43*(E48-$D$4)-E39*(E50)</f>
        <v>-7.410703880138693</v>
      </c>
      <c r="F51" s="5">
        <f>-F43*(F48-$D$4)-F39*(F50)</f>
        <v>-5.267806382561638</v>
      </c>
      <c r="G51" s="5">
        <f>-G43*(G48-$D$4)-G39*(G50)</f>
        <v>-3.454488837335978</v>
      </c>
      <c r="H51" s="5">
        <f>-H43*(H48-$D$4)-H39*(H50)</f>
        <v>-2.037704458628656</v>
      </c>
      <c r="I51" s="5">
        <f>-I43*(I48-$D$4)-I39*(I50)</f>
        <v>-0.9309425926862995</v>
      </c>
      <c r="J51" s="5">
        <f>-J43*(J48-$D$4)-J39*(J50)</f>
        <v>-0.067816024045118</v>
      </c>
      <c r="K51" s="5">
        <f>-K43*(K48-$D$4)-K39*(K50)</f>
        <v>0.5859968082663777</v>
      </c>
      <c r="L51" s="5">
        <f>-L43*(L48-$D$4)-L39*(L50)</f>
        <v>1.0502833973857821</v>
      </c>
      <c r="M51" s="5">
        <f>-M43*(M48-$D$4)-M39*(M50)</f>
        <v>1.3453934636010643</v>
      </c>
      <c r="N51" s="5">
        <f>-N43*(N48-$D$4)-N39*(N50)</f>
        <v>1.5000000000000007</v>
      </c>
      <c r="O51" s="5">
        <f>-O43*(O48-$D$4)-O39*(O50)</f>
        <v>1.5523840152661406</v>
      </c>
      <c r="P51" s="5">
        <f>-P43*(P48-$D$4)-P39*(P50)</f>
        <v>1.547792813967535</v>
      </c>
      <c r="Q51" s="5">
        <f>-Q43*(Q48-$D$4)-Q39*(Q50)</f>
        <v>1.5353235352932653</v>
      </c>
      <c r="R51" s="5">
        <f>-R43*(R48-$D$4)-R39*(R50)</f>
        <v>1.5678160240451173</v>
      </c>
      <c r="S51" s="5">
        <f>-S43*(S48-$D$4)-S39*(S50)</f>
        <v>1.707399727993864</v>
      </c>
      <c r="T51" s="5">
        <f>-T43*(T48-$D$4)-T39*(T50)</f>
        <v>2.037704458628655</v>
      </c>
      <c r="U51" s="5">
        <f>-U43*(U48-$D$4)-U39*(U50)</f>
        <v>2.678031702028414</v>
      </c>
      <c r="V51" s="5">
        <f>-V43*(V48-$D$4)-V39*(V50)</f>
        <v>3.7678063825616355</v>
      </c>
      <c r="W51" s="5">
        <f>-W43*(W48-$D$4)-W39*(W50)</f>
        <v>5.289383536579049</v>
      </c>
      <c r="X51" s="5">
        <f>-X43*(X48-$D$4)-X39*(X50)</f>
        <v>6.415655394246855</v>
      </c>
      <c r="Y51" s="5">
        <f>-Y43*(Y48-$D$4)-Y39*(Y50)</f>
        <v>4.680034593942465</v>
      </c>
      <c r="Z51" s="5">
        <f>-Z43*(Z48-$D$4)-Z39*(Z50)</f>
        <v>-1.499999999999997</v>
      </c>
    </row>
    <row r="52" spans="1:26" s="108" customFormat="1" ht="12.75">
      <c r="A52" t="s">
        <v>46</v>
      </c>
      <c r="B52" s="5">
        <f>B43*(B47-$D$3)+B39*(B49)</f>
        <v>-4.724981922787214</v>
      </c>
      <c r="C52" s="5">
        <f>C43*(C47-$D$3)+C39*(C49)</f>
        <v>-3.1890978442028097</v>
      </c>
      <c r="D52" s="5">
        <f>D43*(D47-$D$3)+D39*(D49)</f>
        <v>-0.5446018329365524</v>
      </c>
      <c r="E52" s="5">
        <f>E43*(E47-$D$3)+E39*(E49)</f>
        <v>0.48952340124159266</v>
      </c>
      <c r="F52" s="5">
        <f>F43*(F47-$D$3)+F39*(F49)</f>
        <v>0.2347146149855499</v>
      </c>
      <c r="G52" s="5">
        <f>G43*(G47-$D$3)+G39*(G49)</f>
        <v>-0.39249196297520383</v>
      </c>
      <c r="H52" s="5">
        <f>H43*(H47-$D$3)+H39*(H49)</f>
        <v>-0.9199171520775248</v>
      </c>
      <c r="I52" s="5">
        <f>I43*(I47-$D$3)+I39*(I49)</f>
        <v>-1.2041684054345214</v>
      </c>
      <c r="J52" s="5">
        <f>J43*(J47-$D$3)+J39*(J49)</f>
        <v>-1.2415202143564974</v>
      </c>
      <c r="K52" s="5">
        <f>K43*(K47-$D$3)+K39*(K49)</f>
        <v>-1.0786715446965744</v>
      </c>
      <c r="L52" s="5">
        <f>L43*(L47-$D$3)+L39*(L49)</f>
        <v>-0.7782104710258073</v>
      </c>
      <c r="M52" s="5">
        <f>M43*(M47-$D$3)+M39*(M49)</f>
        <v>-0.4031643971368388</v>
      </c>
      <c r="N52" s="5">
        <f>N43*(N47-$D$3)+N39*(N49)</f>
        <v>-0.007071713079490505</v>
      </c>
      <c r="O52" s="5">
        <f>O43*(O47-$D$3)+O39*(O49)</f>
        <v>0.3732927381707251</v>
      </c>
      <c r="P52" s="5">
        <f>P43*(P47-$D$3)+P39*(P49)</f>
        <v>0.721789528974193</v>
      </c>
      <c r="Q52" s="5">
        <f>Q43*(Q47-$D$3)+Q39*(Q49)</f>
        <v>1.0426487988630688</v>
      </c>
      <c r="R52" s="5">
        <f>R43*(R47-$D$3)+R39*(R49)</f>
        <v>1.356555996996818</v>
      </c>
      <c r="S52" s="5">
        <f>S43*(S47-$D$3)+S39*(S49)</f>
        <v>1.6936090734326839</v>
      </c>
      <c r="T52" s="5">
        <f>T43*(T47-$D$3)+T39*(T49)</f>
        <v>2.0800828479224753</v>
      </c>
      <c r="U52" s="5">
        <f>U43*(U47-$D$3)+U39*(U49)</f>
        <v>2.505285515892</v>
      </c>
      <c r="V52" s="5">
        <f>V43*(V47-$D$3)+V39*(V49)</f>
        <v>2.8327908263388664</v>
      </c>
      <c r="W52" s="5">
        <f>W43*(W47-$D$3)+W39*(W49)</f>
        <v>2.6108437448012323</v>
      </c>
      <c r="X52" s="5">
        <f>X43*(X47-$D$3)+X39*(X49)</f>
        <v>0.9553981670634508</v>
      </c>
      <c r="Y52" s="5">
        <f>Y43*(Y47-$D$3)+Y39*(Y49)</f>
        <v>-2.4126407088952426</v>
      </c>
      <c r="Z52" s="5">
        <f>Z43*(Z47-$D$3)+Z39*(Z49)</f>
        <v>-4.724981922787217</v>
      </c>
    </row>
    <row r="53" spans="1:26" s="108" customFormat="1" ht="12.75">
      <c r="A5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108" customFormat="1" ht="12.75">
      <c r="A54" s="14"/>
      <c r="B54" s="84" t="s">
        <v>296</v>
      </c>
      <c r="C54" s="84"/>
      <c r="D54" s="84"/>
      <c r="E54" s="84"/>
      <c r="F54" s="84"/>
      <c r="G54" s="84"/>
      <c r="H54" s="84"/>
      <c r="I54" s="84"/>
      <c r="J54" s="8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08" customFormat="1" ht="12.75">
      <c r="A55" t="s">
        <v>41</v>
      </c>
      <c r="B55" s="5">
        <f>B24+(($D$7-$D$5)*COS(B36-$B$36))-(($D$8-$D$6)*SIN(B36-$B$36))</f>
        <v>5.299999999999998</v>
      </c>
      <c r="C55" s="5">
        <f aca="true" t="shared" si="21" ref="C55:Z55">C24+($D$7-$D$5)*COS(C36-$B$36)-($D$8-$D$6)*SIN(C36-$B$36)</f>
        <v>6.831150127999447</v>
      </c>
      <c r="D55" s="5">
        <f t="shared" si="21"/>
        <v>7.871862397726833</v>
      </c>
      <c r="E55" s="5">
        <f t="shared" si="21"/>
        <v>8.312103067491254</v>
      </c>
      <c r="F55" s="5">
        <f t="shared" si="21"/>
        <v>8.24694036493347</v>
      </c>
      <c r="G55" s="5">
        <f t="shared" si="21"/>
        <v>7.818643280010177</v>
      </c>
      <c r="H55" s="5">
        <f t="shared" si="21"/>
        <v>7.151287278495801</v>
      </c>
      <c r="I55" s="5">
        <f t="shared" si="21"/>
        <v>6.3425085834270725</v>
      </c>
      <c r="J55" s="5">
        <f t="shared" si="21"/>
        <v>5.468542289605474</v>
      </c>
      <c r="K55" s="5">
        <f t="shared" si="21"/>
        <v>4.588736410936486</v>
      </c>
      <c r="L55" s="5">
        <f t="shared" si="21"/>
        <v>3.748011188924529</v>
      </c>
      <c r="M55" s="5">
        <f t="shared" si="21"/>
        <v>2.978302379340211</v>
      </c>
      <c r="N55" s="5">
        <f t="shared" si="21"/>
        <v>2.300000000000001</v>
      </c>
      <c r="O55" s="5">
        <f t="shared" si="21"/>
        <v>1.723920141792585</v>
      </c>
      <c r="P55" s="5">
        <f t="shared" si="21"/>
        <v>1.2539125997221543</v>
      </c>
      <c r="Q55" s="5">
        <f t="shared" si="21"/>
        <v>0.8899432455038703</v>
      </c>
      <c r="R55" s="5">
        <f t="shared" si="21"/>
        <v>0.6314577103945254</v>
      </c>
      <c r="S55" s="5">
        <f t="shared" si="21"/>
        <v>0.4810342812653652</v>
      </c>
      <c r="T55" s="5">
        <f t="shared" si="21"/>
        <v>0.4487127215041977</v>
      </c>
      <c r="U55" s="5">
        <f t="shared" si="21"/>
        <v>0.5578138552973848</v>
      </c>
      <c r="V55" s="5">
        <f t="shared" si="21"/>
        <v>0.853059635066526</v>
      </c>
      <c r="W55" s="5">
        <f t="shared" si="21"/>
        <v>1.4092172760683894</v>
      </c>
      <c r="X55" s="5">
        <f t="shared" si="21"/>
        <v>2.326213813626482</v>
      </c>
      <c r="Y55" s="5">
        <f t="shared" si="21"/>
        <v>3.6666273508677554</v>
      </c>
      <c r="Z55" s="5">
        <f t="shared" si="21"/>
        <v>5.299999999999998</v>
      </c>
    </row>
    <row r="56" spans="1:26" s="108" customFormat="1" ht="12.75">
      <c r="A56" t="s">
        <v>42</v>
      </c>
      <c r="B56" s="5">
        <f>B25+($D$7-$D$5)*SIN(B36-$B$36)+($D$8-$D$6)*COS(B36-$B$36)</f>
        <v>9.731906288081488</v>
      </c>
      <c r="C56" s="5">
        <f aca="true" t="shared" si="22" ref="C56:Z56">C25+($D$7-$D$5)*SIN(C36-$B$36)+($D$8-$D$6)*COS(C36-$B$36)</f>
        <v>9.97039968478319</v>
      </c>
      <c r="D56" s="5">
        <f t="shared" si="22"/>
        <v>9.996303858762108</v>
      </c>
      <c r="E56" s="5">
        <f t="shared" si="22"/>
        <v>9.974613236675872</v>
      </c>
      <c r="F56" s="5">
        <f t="shared" si="22"/>
        <v>9.979051466157479</v>
      </c>
      <c r="G56" s="5">
        <f t="shared" si="22"/>
        <v>9.997609470073654</v>
      </c>
      <c r="H56" s="5">
        <f t="shared" si="22"/>
        <v>9.989927772189361</v>
      </c>
      <c r="I56" s="5">
        <f t="shared" si="22"/>
        <v>9.920620713304455</v>
      </c>
      <c r="J56" s="5">
        <f t="shared" si="22"/>
        <v>9.770204093507962</v>
      </c>
      <c r="K56" s="5">
        <f t="shared" si="22"/>
        <v>9.53584246918857</v>
      </c>
      <c r="L56" s="5">
        <f t="shared" si="22"/>
        <v>9.228335830438192</v>
      </c>
      <c r="M56" s="5">
        <f t="shared" si="22"/>
        <v>8.867914698686928</v>
      </c>
      <c r="N56" s="5">
        <f t="shared" si="22"/>
        <v>8.479976415061541</v>
      </c>
      <c r="O56" s="5">
        <f t="shared" si="22"/>
        <v>8.091457563379363</v>
      </c>
      <c r="P56" s="5">
        <f t="shared" si="22"/>
        <v>7.728335830438194</v>
      </c>
      <c r="Q56" s="5">
        <f t="shared" si="22"/>
        <v>7.414522125628927</v>
      </c>
      <c r="R56" s="5">
        <f t="shared" si="22"/>
        <v>7.172127882154646</v>
      </c>
      <c r="S56" s="5">
        <f t="shared" si="22"/>
        <v>7.022843234437252</v>
      </c>
      <c r="T56" s="5">
        <f t="shared" si="22"/>
        <v>6.989927772189361</v>
      </c>
      <c r="U56" s="5">
        <f t="shared" si="22"/>
        <v>7.099831991206448</v>
      </c>
      <c r="V56" s="5">
        <f t="shared" si="22"/>
        <v>7.380975254804164</v>
      </c>
      <c r="W56" s="5">
        <f t="shared" si="22"/>
        <v>7.85329289311623</v>
      </c>
      <c r="X56" s="5">
        <f t="shared" si="22"/>
        <v>8.496303858762108</v>
      </c>
      <c r="Y56" s="5">
        <f t="shared" si="22"/>
        <v>9.193942549475628</v>
      </c>
      <c r="Z56" s="5">
        <f t="shared" si="22"/>
        <v>9.731906288081488</v>
      </c>
    </row>
    <row r="57" spans="1:26" s="108" customFormat="1" ht="12.75">
      <c r="A57" t="s">
        <v>43</v>
      </c>
      <c r="B57" s="5">
        <f aca="true" t="shared" si="23" ref="B57:Z57">B26-B38*(B56-B25)</f>
        <v>6.346895405270537</v>
      </c>
      <c r="C57" s="5">
        <f t="shared" si="23"/>
        <v>5.081029576440436</v>
      </c>
      <c r="D57" s="5">
        <f t="shared" si="23"/>
        <v>2.808676793772026</v>
      </c>
      <c r="E57" s="5">
        <f t="shared" si="23"/>
        <v>0.6264012382599327</v>
      </c>
      <c r="F57" s="5">
        <f t="shared" si="23"/>
        <v>-1.0301781168544948</v>
      </c>
      <c r="G57" s="5">
        <f t="shared" si="23"/>
        <v>-2.1626477315388533</v>
      </c>
      <c r="H57" s="5">
        <f t="shared" si="23"/>
        <v>-2.8738301478704793</v>
      </c>
      <c r="I57" s="5">
        <f t="shared" si="23"/>
        <v>-3.2565403782770277</v>
      </c>
      <c r="J57" s="5">
        <f t="shared" si="23"/>
        <v>-3.3824326480321716</v>
      </c>
      <c r="K57" s="5">
        <f t="shared" si="23"/>
        <v>-3.31027439002197</v>
      </c>
      <c r="L57" s="5">
        <f t="shared" si="23"/>
        <v>-3.0921490872205175</v>
      </c>
      <c r="M57" s="5">
        <f t="shared" si="23"/>
        <v>-2.7751372540179187</v>
      </c>
      <c r="N57" s="5">
        <f t="shared" si="23"/>
        <v>-2.399993325017418</v>
      </c>
      <c r="O57" s="5">
        <f t="shared" si="23"/>
        <v>-1.998680118710355</v>
      </c>
      <c r="P57" s="5">
        <f t="shared" si="23"/>
        <v>-1.5921490872205175</v>
      </c>
      <c r="Q57" s="5">
        <f t="shared" si="23"/>
        <v>-1.188954046462328</v>
      </c>
      <c r="R57" s="5">
        <f t="shared" si="23"/>
        <v>-0.7843564366788569</v>
      </c>
      <c r="S57" s="5">
        <f t="shared" si="23"/>
        <v>-0.35876289940982176</v>
      </c>
      <c r="T57" s="5">
        <f t="shared" si="23"/>
        <v>0.1261698521295198</v>
      </c>
      <c r="U57" s="5">
        <f t="shared" si="23"/>
        <v>0.7351297473283513</v>
      </c>
      <c r="V57" s="5">
        <f t="shared" si="23"/>
        <v>1.5678980944988208</v>
      </c>
      <c r="W57" s="5">
        <f t="shared" si="23"/>
        <v>2.7477215818195755</v>
      </c>
      <c r="X57" s="5">
        <f t="shared" si="23"/>
        <v>4.308676793772024</v>
      </c>
      <c r="Y57" s="5">
        <f t="shared" si="23"/>
        <v>5.857486711747993</v>
      </c>
      <c r="Z57" s="5">
        <f t="shared" si="23"/>
        <v>6.346895405270538</v>
      </c>
    </row>
    <row r="58" spans="1:26" s="108" customFormat="1" ht="12.75">
      <c r="A58" t="s">
        <v>44</v>
      </c>
      <c r="B58" s="5">
        <f aca="true" t="shared" si="24" ref="B58:Z58">B27+B38*(B55-B24)</f>
        <v>1.5000000000000009</v>
      </c>
      <c r="C58" s="5">
        <f t="shared" si="24"/>
        <v>0.39181467774450507</v>
      </c>
      <c r="D58" s="5">
        <f t="shared" si="24"/>
        <v>-0.07638559395383782</v>
      </c>
      <c r="E58" s="5">
        <f t="shared" si="24"/>
        <v>-0.04471975330382527</v>
      </c>
      <c r="F58" s="5">
        <f t="shared" si="24"/>
        <v>0.06678628816822352</v>
      </c>
      <c r="G58" s="5">
        <f t="shared" si="24"/>
        <v>0.04729614563817719</v>
      </c>
      <c r="H58" s="5">
        <f t="shared" si="24"/>
        <v>-0.1290824294427476</v>
      </c>
      <c r="I58" s="5">
        <f t="shared" si="24"/>
        <v>-0.41278380574661494</v>
      </c>
      <c r="J58" s="5">
        <f t="shared" si="24"/>
        <v>-0.73790803943685</v>
      </c>
      <c r="K58" s="5">
        <f t="shared" si="24"/>
        <v>-1.0453306850119146</v>
      </c>
      <c r="L58" s="5">
        <f t="shared" si="24"/>
        <v>-1.2906903156758098</v>
      </c>
      <c r="M58" s="5">
        <f t="shared" si="24"/>
        <v>-1.4463203221607528</v>
      </c>
      <c r="N58" s="5">
        <f t="shared" si="24"/>
        <v>-1.4999999999999996</v>
      </c>
      <c r="O58" s="5">
        <f t="shared" si="24"/>
        <v>-1.4514571567064523</v>
      </c>
      <c r="P58" s="5">
        <f t="shared" si="24"/>
        <v>-1.3073858956775057</v>
      </c>
      <c r="Q58" s="5">
        <f t="shared" si="24"/>
        <v>-1.0759896585477287</v>
      </c>
      <c r="R58" s="5">
        <f t="shared" si="24"/>
        <v>-0.762091960563151</v>
      </c>
      <c r="S58" s="5">
        <f t="shared" si="24"/>
        <v>-0.3636733295609466</v>
      </c>
      <c r="T58" s="5">
        <f t="shared" si="24"/>
        <v>0.1290824294427468</v>
      </c>
      <c r="U58" s="5">
        <f t="shared" si="24"/>
        <v>0.7291609896693838</v>
      </c>
      <c r="V58" s="5">
        <f t="shared" si="24"/>
        <v>1.433213711831777</v>
      </c>
      <c r="W58" s="5">
        <f t="shared" si="24"/>
        <v>2.166040096863467</v>
      </c>
      <c r="X58" s="5">
        <f t="shared" si="24"/>
        <v>2.674461805307152</v>
      </c>
      <c r="Y58" s="5">
        <f t="shared" si="24"/>
        <v>2.5059628011227004</v>
      </c>
      <c r="Z58" s="5">
        <f t="shared" si="24"/>
        <v>1.5000000000000009</v>
      </c>
    </row>
    <row r="59" spans="1:26" s="108" customFormat="1" ht="12.75">
      <c r="A59" t="s">
        <v>45</v>
      </c>
      <c r="B59" s="5">
        <f aca="true" t="shared" si="25" ref="B59:Z59">B28-B42*(B56-B25)-B38*(B58-B27)</f>
        <v>-1.4999999999999973</v>
      </c>
      <c r="C59" s="5">
        <f t="shared" si="25"/>
        <v>-7.577812072809676</v>
      </c>
      <c r="D59" s="5">
        <f t="shared" si="25"/>
        <v>-9.01373160560017</v>
      </c>
      <c r="E59" s="5">
        <f t="shared" si="25"/>
        <v>-7.410703880138692</v>
      </c>
      <c r="F59" s="5">
        <f t="shared" si="25"/>
        <v>-5.267806382561637</v>
      </c>
      <c r="G59" s="5">
        <f t="shared" si="25"/>
        <v>-3.454488837335978</v>
      </c>
      <c r="H59" s="5">
        <f t="shared" si="25"/>
        <v>-2.0377044586286552</v>
      </c>
      <c r="I59" s="5">
        <f t="shared" si="25"/>
        <v>-0.9309425926863002</v>
      </c>
      <c r="J59" s="5">
        <f t="shared" si="25"/>
        <v>-0.06781602404511794</v>
      </c>
      <c r="K59" s="5">
        <f t="shared" si="25"/>
        <v>0.5859968082663776</v>
      </c>
      <c r="L59" s="5">
        <f t="shared" si="25"/>
        <v>1.0502833973857815</v>
      </c>
      <c r="M59" s="5">
        <f t="shared" si="25"/>
        <v>1.345393463601064</v>
      </c>
      <c r="N59" s="5">
        <f t="shared" si="25"/>
        <v>1.5000000000000007</v>
      </c>
      <c r="O59" s="5">
        <f t="shared" si="25"/>
        <v>1.55238401526614</v>
      </c>
      <c r="P59" s="5">
        <f t="shared" si="25"/>
        <v>1.5477928139675348</v>
      </c>
      <c r="Q59" s="5">
        <f t="shared" si="25"/>
        <v>1.5353235352932646</v>
      </c>
      <c r="R59" s="5">
        <f t="shared" si="25"/>
        <v>1.567816024045117</v>
      </c>
      <c r="S59" s="5">
        <f t="shared" si="25"/>
        <v>1.707399727993864</v>
      </c>
      <c r="T59" s="5">
        <f t="shared" si="25"/>
        <v>2.0377044586286543</v>
      </c>
      <c r="U59" s="5">
        <f t="shared" si="25"/>
        <v>2.678031702028413</v>
      </c>
      <c r="V59" s="5">
        <f t="shared" si="25"/>
        <v>3.767806382561634</v>
      </c>
      <c r="W59" s="5">
        <f t="shared" si="25"/>
        <v>5.289383536579048</v>
      </c>
      <c r="X59" s="5">
        <f t="shared" si="25"/>
        <v>6.415655394246854</v>
      </c>
      <c r="Y59" s="5">
        <f t="shared" si="25"/>
        <v>4.680034593942463</v>
      </c>
      <c r="Z59" s="5">
        <f t="shared" si="25"/>
        <v>-1.4999999999999973</v>
      </c>
    </row>
    <row r="60" spans="1:26" s="108" customFormat="1" ht="12.75">
      <c r="A60" t="s">
        <v>46</v>
      </c>
      <c r="B60" s="5">
        <f aca="true" t="shared" si="26" ref="B60:Z60">B29+B42*(B55-B24)+B38*(B57-B26)</f>
        <v>-4.724981922787214</v>
      </c>
      <c r="C60" s="5">
        <f t="shared" si="26"/>
        <v>-3.189097844202811</v>
      </c>
      <c r="D60" s="5">
        <f t="shared" si="26"/>
        <v>-0.5446018329365516</v>
      </c>
      <c r="E60" s="5">
        <f t="shared" si="26"/>
        <v>0.4895234012415919</v>
      </c>
      <c r="F60" s="5">
        <f t="shared" si="26"/>
        <v>0.23471461498555057</v>
      </c>
      <c r="G60" s="5">
        <f t="shared" si="26"/>
        <v>-0.3924919629752033</v>
      </c>
      <c r="H60" s="5">
        <f t="shared" si="26"/>
        <v>-0.9199171520775251</v>
      </c>
      <c r="I60" s="5">
        <f t="shared" si="26"/>
        <v>-1.2041684054345219</v>
      </c>
      <c r="J60" s="5">
        <f t="shared" si="26"/>
        <v>-1.2415202143564976</v>
      </c>
      <c r="K60" s="5">
        <f t="shared" si="26"/>
        <v>-1.078671544696574</v>
      </c>
      <c r="L60" s="5">
        <f t="shared" si="26"/>
        <v>-0.7782104710258071</v>
      </c>
      <c r="M60" s="5">
        <f t="shared" si="26"/>
        <v>-0.4031643971368386</v>
      </c>
      <c r="N60" s="5">
        <f t="shared" si="26"/>
        <v>-0.00707171307949106</v>
      </c>
      <c r="O60" s="5">
        <f t="shared" si="26"/>
        <v>0.37329273817072495</v>
      </c>
      <c r="P60" s="5">
        <f t="shared" si="26"/>
        <v>0.7217895289741927</v>
      </c>
      <c r="Q60" s="5">
        <f t="shared" si="26"/>
        <v>1.042648798863068</v>
      </c>
      <c r="R60" s="5">
        <f t="shared" si="26"/>
        <v>1.3565559969968177</v>
      </c>
      <c r="S60" s="5">
        <f t="shared" si="26"/>
        <v>1.6936090734326836</v>
      </c>
      <c r="T60" s="5">
        <f t="shared" si="26"/>
        <v>2.0800828479224753</v>
      </c>
      <c r="U60" s="5">
        <f t="shared" si="26"/>
        <v>2.5052855158920004</v>
      </c>
      <c r="V60" s="5">
        <f t="shared" si="26"/>
        <v>2.8327908263388664</v>
      </c>
      <c r="W60" s="5">
        <f t="shared" si="26"/>
        <v>2.6108437448012327</v>
      </c>
      <c r="X60" s="5">
        <f t="shared" si="26"/>
        <v>0.9553981670634496</v>
      </c>
      <c r="Y60" s="5">
        <f t="shared" si="26"/>
        <v>-2.412640708895242</v>
      </c>
      <c r="Z60" s="5">
        <f t="shared" si="26"/>
        <v>-4.724981922787213</v>
      </c>
    </row>
    <row r="61" spans="1:26" s="108" customFormat="1" ht="12.75">
      <c r="A61" s="16"/>
      <c r="B61" s="106" t="s">
        <v>298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s="108" customFormat="1" ht="12.75">
      <c r="A62" t="s">
        <v>66</v>
      </c>
      <c r="B62" s="5">
        <f aca="true" t="shared" si="27" ref="B62:Z62">RADIANS($D$9)+B37</f>
        <v>1.9774069348570429</v>
      </c>
      <c r="C62" s="5">
        <f t="shared" si="27"/>
        <v>1.8222901897903447</v>
      </c>
      <c r="D62" s="5">
        <f t="shared" si="27"/>
        <v>1.7181396622536318</v>
      </c>
      <c r="E62" s="5">
        <f t="shared" si="27"/>
        <v>1.674058624012868</v>
      </c>
      <c r="F62" s="5">
        <f t="shared" si="27"/>
        <v>1.680590002772669</v>
      </c>
      <c r="G62" s="5">
        <f t="shared" si="27"/>
        <v>1.7234631815823525</v>
      </c>
      <c r="H62" s="5">
        <f t="shared" si="27"/>
        <v>1.790215595339453</v>
      </c>
      <c r="I62" s="5">
        <f t="shared" si="27"/>
        <v>1.8714121829697317</v>
      </c>
      <c r="J62" s="5">
        <f t="shared" si="27"/>
        <v>1.9601228470910599</v>
      </c>
      <c r="K62" s="5">
        <f t="shared" si="27"/>
        <v>2.051202870549298</v>
      </c>
      <c r="L62" s="5">
        <f t="shared" si="27"/>
        <v>2.1407525762032407</v>
      </c>
      <c r="M62" s="5">
        <f t="shared" si="27"/>
        <v>2.2257696505900135</v>
      </c>
      <c r="N62" s="5">
        <f t="shared" si="27"/>
        <v>2.3039298173371296</v>
      </c>
      <c r="O62" s="5">
        <f t="shared" si="27"/>
        <v>2.3734286867394703</v>
      </c>
      <c r="P62" s="5">
        <f t="shared" si="27"/>
        <v>2.4328313999484137</v>
      </c>
      <c r="Q62" s="5">
        <f t="shared" si="27"/>
        <v>2.4808935675163246</v>
      </c>
      <c r="R62" s="5">
        <f t="shared" si="27"/>
        <v>2.5163312428253133</v>
      </c>
      <c r="S62" s="5">
        <f t="shared" si="27"/>
        <v>2.537524353773355</v>
      </c>
      <c r="T62" s="5">
        <f t="shared" si="27"/>
        <v>2.5421375030820643</v>
      </c>
      <c r="U62" s="5">
        <f t="shared" si="27"/>
        <v>2.526651227206922</v>
      </c>
      <c r="V62" s="5">
        <f t="shared" si="27"/>
        <v>2.4858793457006714</v>
      </c>
      <c r="W62" s="5">
        <f t="shared" si="27"/>
        <v>2.412897728504292</v>
      </c>
      <c r="X62" s="5">
        <f t="shared" si="27"/>
        <v>2.3008415326989016</v>
      </c>
      <c r="Y62" s="5">
        <f t="shared" si="27"/>
        <v>2.1495878903763366</v>
      </c>
      <c r="Z62" s="5">
        <f t="shared" si="27"/>
        <v>1.9774069348570429</v>
      </c>
    </row>
    <row r="63" spans="1:26" s="108" customFormat="1" ht="12.75">
      <c r="A63" t="s">
        <v>50</v>
      </c>
      <c r="B63" s="5">
        <f aca="true" t="shared" si="28" ref="B63:Z63">$D$3+($D$10-$D$3)*COS(B62-$B$62)-($D$11-$D$4)*SIN(B62-$B$62)</f>
        <v>6.018005750368491</v>
      </c>
      <c r="C63" s="5">
        <f t="shared" si="28"/>
        <v>6.60459557971115</v>
      </c>
      <c r="D63" s="5">
        <f t="shared" si="28"/>
        <v>7.012756899421972</v>
      </c>
      <c r="E63" s="5">
        <f t="shared" si="28"/>
        <v>7.187684484131182</v>
      </c>
      <c r="F63" s="5">
        <f t="shared" si="28"/>
        <v>7.161707114072109</v>
      </c>
      <c r="G63" s="5">
        <f t="shared" si="28"/>
        <v>6.991701972717642</v>
      </c>
      <c r="H63" s="5">
        <f t="shared" si="28"/>
        <v>6.729348592129006</v>
      </c>
      <c r="I63" s="5">
        <f t="shared" si="28"/>
        <v>6.415565998169023</v>
      </c>
      <c r="J63" s="5">
        <f t="shared" si="28"/>
        <v>6.081738314125672</v>
      </c>
      <c r="K63" s="5">
        <f t="shared" si="28"/>
        <v>5.751441041533348</v>
      </c>
      <c r="L63" s="5">
        <f t="shared" si="28"/>
        <v>5.441619141793027</v>
      </c>
      <c r="M63" s="5">
        <f t="shared" si="28"/>
        <v>5.163447649585359</v>
      </c>
      <c r="N63" s="5">
        <f t="shared" si="28"/>
        <v>4.923194583160526</v>
      </c>
      <c r="O63" s="5">
        <f t="shared" si="28"/>
        <v>4.723249655107335</v>
      </c>
      <c r="P63" s="5">
        <f t="shared" si="28"/>
        <v>4.563324997423863</v>
      </c>
      <c r="Q63" s="5">
        <f t="shared" si="28"/>
        <v>4.441746331853472</v>
      </c>
      <c r="R63" s="5">
        <f t="shared" si="28"/>
        <v>4.3567594357091</v>
      </c>
      <c r="S63" s="5">
        <f t="shared" si="28"/>
        <v>4.307873374824579</v>
      </c>
      <c r="T63" s="5">
        <f t="shared" si="28"/>
        <v>4.297427449782244</v>
      </c>
      <c r="U63" s="5">
        <f t="shared" si="28"/>
        <v>4.332771039810936</v>
      </c>
      <c r="V63" s="5">
        <f t="shared" si="28"/>
        <v>4.42954716684042</v>
      </c>
      <c r="W63" s="5">
        <f t="shared" si="28"/>
        <v>4.615823670673531</v>
      </c>
      <c r="X63" s="5">
        <f t="shared" si="28"/>
        <v>4.932386717580851</v>
      </c>
      <c r="Y63" s="5">
        <f t="shared" si="28"/>
        <v>5.411949100143002</v>
      </c>
      <c r="Z63" s="5">
        <f t="shared" si="28"/>
        <v>6.018005750368491</v>
      </c>
    </row>
    <row r="64" spans="1:26" s="108" customFormat="1" ht="12.75">
      <c r="A64" t="s">
        <v>68</v>
      </c>
      <c r="B64" s="5">
        <f>B63-6</f>
        <v>0.01800575036849139</v>
      </c>
      <c r="C64" s="5">
        <f>C63-6</f>
        <v>0.60459557971115</v>
      </c>
      <c r="D64" s="5">
        <f>D63-6</f>
        <v>1.012756899421972</v>
      </c>
      <c r="E64" s="5">
        <f>E63-6</f>
        <v>1.1876844841311822</v>
      </c>
      <c r="F64" s="5">
        <f>F63-6</f>
        <v>1.161707114072109</v>
      </c>
      <c r="G64" s="5">
        <f>G63-6</f>
        <v>0.9917019727176424</v>
      </c>
      <c r="H64" s="5">
        <f>H63-6</f>
        <v>0.7293485921290062</v>
      </c>
      <c r="I64" s="5">
        <f>I63-6</f>
        <v>0.41556599816902295</v>
      </c>
      <c r="J64" s="5">
        <f>J63-6</f>
        <v>0.08173831412567178</v>
      </c>
      <c r="K64" s="5">
        <f>K63-6</f>
        <v>-0.24855895846665188</v>
      </c>
      <c r="L64" s="5">
        <f>L63-6</f>
        <v>-0.5583808582069727</v>
      </c>
      <c r="M64" s="5">
        <f>M63-6</f>
        <v>-0.8365523504146406</v>
      </c>
      <c r="N64" s="5">
        <f>N63-6</f>
        <v>-1.0768054168394743</v>
      </c>
      <c r="O64" s="5">
        <f>O63-6</f>
        <v>-1.2767503448926654</v>
      </c>
      <c r="P64" s="5">
        <f>P63-6</f>
        <v>-1.4366750025761368</v>
      </c>
      <c r="Q64" s="5">
        <f>Q63-6</f>
        <v>-1.558253668146528</v>
      </c>
      <c r="R64" s="5">
        <f>R63-6</f>
        <v>-1.6432405642908998</v>
      </c>
      <c r="S64" s="5">
        <f>S63-6</f>
        <v>-1.6921266251754208</v>
      </c>
      <c r="T64" s="5">
        <f>T63-6</f>
        <v>-1.7025725502177558</v>
      </c>
      <c r="U64" s="5">
        <f>U63-6</f>
        <v>-1.667228960189064</v>
      </c>
      <c r="V64" s="5">
        <f>V63-6</f>
        <v>-1.57045283315958</v>
      </c>
      <c r="W64" s="5">
        <f>W63-6</f>
        <v>-1.3841763293264693</v>
      </c>
      <c r="X64" s="5">
        <f>X63-6</f>
        <v>-1.067613282419149</v>
      </c>
      <c r="Y64" s="5">
        <f>Y63-6</f>
        <v>-0.5880508998569978</v>
      </c>
      <c r="Z64" s="5">
        <f>Z63-6</f>
        <v>0.01800575036849139</v>
      </c>
    </row>
    <row r="65" spans="1:26" s="108" customFormat="1" ht="12.75">
      <c r="A65" t="s">
        <v>51</v>
      </c>
      <c r="B65" s="5">
        <f aca="true" t="shared" si="29" ref="B65:Z65">$D$4+($D$10-$D$3)*SIN(B62-$B$62)+($D$11-$D$4)*COS(B62-$B$62)</f>
        <v>3.673866382182787</v>
      </c>
      <c r="C65" s="5">
        <f t="shared" si="29"/>
        <v>3.8741670124130447</v>
      </c>
      <c r="D65" s="5">
        <f t="shared" si="29"/>
        <v>3.956658380606482</v>
      </c>
      <c r="E65" s="5">
        <f t="shared" si="29"/>
        <v>3.978692739502993</v>
      </c>
      <c r="F65" s="5">
        <f t="shared" si="29"/>
        <v>3.975914906803842</v>
      </c>
      <c r="G65" s="5">
        <f t="shared" si="29"/>
        <v>3.9534761299398777</v>
      </c>
      <c r="H65" s="5">
        <f t="shared" si="29"/>
        <v>3.9040960702795537</v>
      </c>
      <c r="I65" s="5">
        <f t="shared" si="29"/>
        <v>3.8206172400944136</v>
      </c>
      <c r="J65" s="5">
        <f t="shared" si="29"/>
        <v>3.700659597045646</v>
      </c>
      <c r="K65" s="5">
        <f t="shared" si="29"/>
        <v>3.5472284641777283</v>
      </c>
      <c r="L65" s="5">
        <f t="shared" si="29"/>
        <v>3.3676983343116897</v>
      </c>
      <c r="M65" s="5">
        <f t="shared" si="29"/>
        <v>3.1722567115050584</v>
      </c>
      <c r="N65" s="5">
        <f t="shared" si="29"/>
        <v>2.97232447091142</v>
      </c>
      <c r="O65" s="5">
        <f t="shared" si="29"/>
        <v>2.7792638329528785</v>
      </c>
      <c r="P65" s="5">
        <f t="shared" si="29"/>
        <v>2.603575412529704</v>
      </c>
      <c r="Q65" s="5">
        <f t="shared" si="29"/>
        <v>2.4546758986959976</v>
      </c>
      <c r="R65" s="5">
        <f t="shared" si="29"/>
        <v>2.341236989742399</v>
      </c>
      <c r="S65" s="5">
        <f t="shared" si="29"/>
        <v>2.271982016612608</v>
      </c>
      <c r="T65" s="5">
        <f t="shared" si="29"/>
        <v>2.256770823665574</v>
      </c>
      <c r="U65" s="5">
        <f t="shared" si="29"/>
        <v>2.30764271968212</v>
      </c>
      <c r="V65" s="5">
        <f t="shared" si="29"/>
        <v>2.438899102609699</v>
      </c>
      <c r="W65" s="5">
        <f t="shared" si="29"/>
        <v>2.6635862357895603</v>
      </c>
      <c r="X65" s="5">
        <f t="shared" si="29"/>
        <v>2.9805770205550695</v>
      </c>
      <c r="Y65" s="5">
        <f t="shared" si="29"/>
        <v>3.348497164346265</v>
      </c>
      <c r="Z65" s="5">
        <f t="shared" si="29"/>
        <v>3.673866382182787</v>
      </c>
    </row>
    <row r="66" spans="1:26" s="108" customFormat="1" ht="12.75">
      <c r="A66" t="s">
        <v>52</v>
      </c>
      <c r="B66" s="5">
        <f>-B39*(B65-$D$4)</f>
        <v>2.3959998144670354</v>
      </c>
      <c r="C66" s="5">
        <f aca="true" t="shared" si="30" ref="C66:Z66">-C39*(C65-$D$4)</f>
        <v>1.9743197661557543</v>
      </c>
      <c r="D66" s="5">
        <f t="shared" si="30"/>
        <v>1.1117083605609004</v>
      </c>
      <c r="E66" s="5">
        <f t="shared" si="30"/>
        <v>0.2498601198407014</v>
      </c>
      <c r="F66" s="5">
        <f t="shared" si="30"/>
        <v>-0.4104498854781492</v>
      </c>
      <c r="G66" s="5">
        <f t="shared" si="30"/>
        <v>-0.8552020570217864</v>
      </c>
      <c r="H66" s="5">
        <f t="shared" si="30"/>
        <v>-1.123102112728606</v>
      </c>
      <c r="I66" s="5">
        <f t="shared" si="30"/>
        <v>-1.2541548227544823</v>
      </c>
      <c r="J66" s="5">
        <f t="shared" si="30"/>
        <v>-1.281163803795884</v>
      </c>
      <c r="K66" s="5">
        <f t="shared" si="30"/>
        <v>-1.2313856461519004</v>
      </c>
      <c r="L66" s="5">
        <f t="shared" si="30"/>
        <v>-1.1284185493259715</v>
      </c>
      <c r="M66" s="5">
        <f t="shared" si="30"/>
        <v>-0.9927303180655973</v>
      </c>
      <c r="N66" s="5">
        <f t="shared" si="30"/>
        <v>-0.8412239068617227</v>
      </c>
      <c r="O66" s="5">
        <f t="shared" si="30"/>
        <v>-0.6865091145894475</v>
      </c>
      <c r="P66" s="5">
        <f t="shared" si="30"/>
        <v>-0.536374234701692</v>
      </c>
      <c r="Q66" s="5">
        <f t="shared" si="30"/>
        <v>-0.393619007814425</v>
      </c>
      <c r="R66" s="5">
        <f t="shared" si="30"/>
        <v>-0.25604176791998334</v>
      </c>
      <c r="S66" s="5">
        <f t="shared" si="30"/>
        <v>-0.11606450955504345</v>
      </c>
      <c r="T66" s="5">
        <f t="shared" si="30"/>
        <v>0.040735247972800426</v>
      </c>
      <c r="U66" s="5">
        <f t="shared" si="30"/>
        <v>0.23893759902278489</v>
      </c>
      <c r="V66" s="5">
        <f t="shared" si="30"/>
        <v>0.5180813000514648</v>
      </c>
      <c r="W66" s="5">
        <f t="shared" si="30"/>
        <v>0.9319394405284176</v>
      </c>
      <c r="X66" s="5">
        <f t="shared" si="30"/>
        <v>1.5115211571996303</v>
      </c>
      <c r="Y66" s="5">
        <f t="shared" si="30"/>
        <v>2.1333369812717335</v>
      </c>
      <c r="Z66" s="5">
        <f t="shared" si="30"/>
        <v>2.3959998144670362</v>
      </c>
    </row>
    <row r="67" spans="1:26" s="108" customFormat="1" ht="12.75">
      <c r="A67" t="s">
        <v>53</v>
      </c>
      <c r="B67" s="5">
        <f>B39*(B63-$D$3)</f>
        <v>1.0317353801944622</v>
      </c>
      <c r="C67" s="5">
        <f aca="true" t="shared" si="31" ref="C67:Z67">C39*(C63-$D$3)</f>
        <v>0.50726946360297</v>
      </c>
      <c r="D67" s="5">
        <f t="shared" si="31"/>
        <v>0.16499859269989098</v>
      </c>
      <c r="E67" s="5">
        <f t="shared" si="31"/>
        <v>0.02589322949829809</v>
      </c>
      <c r="F67" s="5">
        <f t="shared" si="31"/>
        <v>-0.04524675931246377</v>
      </c>
      <c r="G67" s="5">
        <f t="shared" si="31"/>
        <v>-0.13158489064206844</v>
      </c>
      <c r="H67" s="5">
        <f t="shared" si="31"/>
        <v>-0.25046269815794525</v>
      </c>
      <c r="I67" s="5">
        <f t="shared" si="31"/>
        <v>-0.3888019977614932</v>
      </c>
      <c r="J67" s="5">
        <f t="shared" si="31"/>
        <v>-0.5256203294637458</v>
      </c>
      <c r="K67" s="5">
        <f t="shared" si="31"/>
        <v>-0.6417091513864476</v>
      </c>
      <c r="L67" s="5">
        <f t="shared" si="31"/>
        <v>-0.7232111534742468</v>
      </c>
      <c r="M67" s="5">
        <f t="shared" si="31"/>
        <v>-0.7624979974155373</v>
      </c>
      <c r="N67" s="5">
        <f t="shared" si="31"/>
        <v>-0.757586438728153</v>
      </c>
      <c r="O67" s="5">
        <f t="shared" si="31"/>
        <v>-0.710589368577098</v>
      </c>
      <c r="P67" s="5">
        <f t="shared" si="31"/>
        <v>-0.6255990215247705</v>
      </c>
      <c r="Q67" s="5">
        <f t="shared" si="31"/>
        <v>-0.5064410645586673</v>
      </c>
      <c r="R67" s="5">
        <f t="shared" si="31"/>
        <v>-0.3546864548565901</v>
      </c>
      <c r="S67" s="5">
        <f t="shared" si="31"/>
        <v>-0.1681787352849618</v>
      </c>
      <c r="T67" s="5">
        <f t="shared" si="31"/>
        <v>0.05961221687666591</v>
      </c>
      <c r="U67" s="5">
        <f t="shared" si="31"/>
        <v>0.3382949347171134</v>
      </c>
      <c r="V67" s="5">
        <f t="shared" si="31"/>
        <v>0.6734810488050047</v>
      </c>
      <c r="W67" s="5">
        <f t="shared" si="31"/>
        <v>1.0441079704582084</v>
      </c>
      <c r="X67" s="5">
        <f t="shared" si="31"/>
        <v>1.3528098377583253</v>
      </c>
      <c r="Y67" s="5">
        <f t="shared" si="31"/>
        <v>1.3940133954036489</v>
      </c>
      <c r="Z67" s="5">
        <f t="shared" si="31"/>
        <v>1.0317353801944624</v>
      </c>
    </row>
    <row r="68" spans="1:26" s="108" customFormat="1" ht="12.75">
      <c r="A68" t="s">
        <v>54</v>
      </c>
      <c r="B68" s="5">
        <f aca="true" t="shared" si="32" ref="B68:Z68">-B39*B67-B43*(B65-$D$4)</f>
        <v>-0.26269085164684836</v>
      </c>
      <c r="C68" s="5">
        <f t="shared" si="32"/>
        <v>-2.7635628204500504</v>
      </c>
      <c r="D68" s="5">
        <f t="shared" si="32"/>
        <v>-3.51288946116909</v>
      </c>
      <c r="E68" s="5">
        <f t="shared" si="32"/>
        <v>-2.9532493931956636</v>
      </c>
      <c r="F68" s="5">
        <f t="shared" si="32"/>
        <v>-2.0914137328311724</v>
      </c>
      <c r="G68" s="5">
        <f t="shared" si="32"/>
        <v>-1.3335407502332155</v>
      </c>
      <c r="H68" s="5">
        <f t="shared" si="32"/>
        <v>-0.7388020848568916</v>
      </c>
      <c r="I68" s="5">
        <f t="shared" si="32"/>
        <v>-0.2830791334715824</v>
      </c>
      <c r="J68" s="5">
        <f t="shared" si="32"/>
        <v>0.059520790600627246</v>
      </c>
      <c r="K68" s="5">
        <f t="shared" si="32"/>
        <v>0.30576141922354777</v>
      </c>
      <c r="L68" s="5">
        <f t="shared" si="32"/>
        <v>0.46778482509618985</v>
      </c>
      <c r="M68" s="5">
        <f t="shared" si="32"/>
        <v>0.5579850706677097</v>
      </c>
      <c r="N68" s="5">
        <f t="shared" si="32"/>
        <v>0.5913758478430198</v>
      </c>
      <c r="O68" s="5">
        <f t="shared" si="32"/>
        <v>0.5855912840666688</v>
      </c>
      <c r="P68" s="5">
        <f t="shared" si="32"/>
        <v>0.559576370754548</v>
      </c>
      <c r="Q68" s="5">
        <f t="shared" si="32"/>
        <v>0.5323777828278937</v>
      </c>
      <c r="R68" s="5">
        <f t="shared" si="32"/>
        <v>0.5233735595979052</v>
      </c>
      <c r="S68" s="5">
        <f t="shared" si="32"/>
        <v>0.5549473441350113</v>
      </c>
      <c r="T68" s="5">
        <f t="shared" si="32"/>
        <v>0.6582178213068267</v>
      </c>
      <c r="U68" s="5">
        <f t="shared" si="32"/>
        <v>0.8809232474400241</v>
      </c>
      <c r="V68" s="5">
        <f t="shared" si="32"/>
        <v>1.2874623890760954</v>
      </c>
      <c r="W68" s="5">
        <f t="shared" si="32"/>
        <v>1.9022630628081367</v>
      </c>
      <c r="X68" s="5">
        <f t="shared" si="32"/>
        <v>2.4609136089008006</v>
      </c>
      <c r="Y68" s="5">
        <f t="shared" si="32"/>
        <v>2.0111540059778354</v>
      </c>
      <c r="Z68" s="5">
        <f t="shared" si="32"/>
        <v>-0.2626908516468479</v>
      </c>
    </row>
    <row r="69" spans="1:26" s="108" customFormat="1" ht="12.75">
      <c r="A69" t="s">
        <v>55</v>
      </c>
      <c r="B69" s="5">
        <f aca="true" t="shared" si="33" ref="B69:Z69">B39*B66+B43*(B63-$D$3)</f>
        <v>-1.9654684387615096</v>
      </c>
      <c r="C69" s="5">
        <f t="shared" si="33"/>
        <v>-1.7826086156925238</v>
      </c>
      <c r="D69" s="5">
        <f t="shared" si="33"/>
        <v>-0.8406184698687438</v>
      </c>
      <c r="E69" s="5">
        <f t="shared" si="33"/>
        <v>-0.3219075132766833</v>
      </c>
      <c r="F69" s="5">
        <f t="shared" si="33"/>
        <v>-0.2734384824204036</v>
      </c>
      <c r="G69" s="5">
        <f t="shared" si="33"/>
        <v>-0.3945579278028426</v>
      </c>
      <c r="H69" s="5">
        <f t="shared" si="33"/>
        <v>-0.5039140837438008</v>
      </c>
      <c r="I69" s="5">
        <f t="shared" si="33"/>
        <v>-0.5390123465347072</v>
      </c>
      <c r="J69" s="5">
        <f t="shared" si="33"/>
        <v>-0.4937739446446835</v>
      </c>
      <c r="K69" s="5">
        <f t="shared" si="33"/>
        <v>-0.38421072891869873</v>
      </c>
      <c r="L69" s="5">
        <f t="shared" si="33"/>
        <v>-0.23360316294064956</v>
      </c>
      <c r="M69" s="5">
        <f t="shared" si="33"/>
        <v>-0.06536572033581112</v>
      </c>
      <c r="N69" s="5">
        <f t="shared" si="33"/>
        <v>0.1014031954530541</v>
      </c>
      <c r="O69" s="5">
        <f t="shared" si="33"/>
        <v>0.25487609519356924</v>
      </c>
      <c r="P69" s="5">
        <f t="shared" si="33"/>
        <v>0.39183813029129877</v>
      </c>
      <c r="Q69" s="5">
        <f t="shared" si="33"/>
        <v>0.5173659019288163</v>
      </c>
      <c r="R69" s="5">
        <f t="shared" si="33"/>
        <v>0.6432781034920473</v>
      </c>
      <c r="S69" s="5">
        <f t="shared" si="33"/>
        <v>0.7857464789613902</v>
      </c>
      <c r="T69" s="5">
        <f t="shared" si="33"/>
        <v>0.960930152562565</v>
      </c>
      <c r="U69" s="5">
        <f t="shared" si="33"/>
        <v>1.1729039697404533</v>
      </c>
      <c r="V69" s="5">
        <f t="shared" si="33"/>
        <v>1.3776108322296126</v>
      </c>
      <c r="W69" s="5">
        <f t="shared" si="33"/>
        <v>1.3958683895568378</v>
      </c>
      <c r="X69" s="5">
        <f t="shared" si="33"/>
        <v>0.8219801559550862</v>
      </c>
      <c r="Y69" s="5">
        <f t="shared" si="33"/>
        <v>-0.6253231186786415</v>
      </c>
      <c r="Z69" s="5">
        <f t="shared" si="33"/>
        <v>-1.9654684387615107</v>
      </c>
    </row>
    <row r="70" spans="1:26" s="108" customFormat="1" ht="12.75">
      <c r="A70" s="18"/>
      <c r="B70" s="93" t="s">
        <v>103</v>
      </c>
      <c r="C70" s="93"/>
      <c r="D70" s="93"/>
      <c r="E70" s="93"/>
      <c r="F70" s="93"/>
      <c r="G70" s="93"/>
      <c r="H70" s="93"/>
      <c r="I70" s="93"/>
      <c r="J70" s="9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s="108" customFormat="1" ht="12.75">
      <c r="A71" t="s">
        <v>59</v>
      </c>
      <c r="B71" s="5">
        <f>RADIANS($F$4)</f>
        <v>1.0471975511965976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108" customFormat="1" ht="12.75">
      <c r="A72" t="s">
        <v>58</v>
      </c>
      <c r="B72" s="5">
        <f aca="true" t="shared" si="34" ref="B72:Z72">(B65-(B63-$F$3)*TAN($B$71))/$B$11</f>
        <v>0.03571557851568086</v>
      </c>
      <c r="C72" s="5">
        <f t="shared" si="34"/>
        <v>-0.12742497296319577</v>
      </c>
      <c r="D72" s="5">
        <f t="shared" si="34"/>
        <v>-0.25231792800921005</v>
      </c>
      <c r="E72" s="5">
        <f t="shared" si="34"/>
        <v>-0.3085077491022399</v>
      </c>
      <c r="F72" s="5">
        <f t="shared" si="34"/>
        <v>-0.3000644906842034</v>
      </c>
      <c r="G72" s="5">
        <f t="shared" si="34"/>
        <v>-0.2456607375822232</v>
      </c>
      <c r="H72" s="5">
        <f t="shared" si="34"/>
        <v>-0.16465487257089356</v>
      </c>
      <c r="I72" s="5">
        <f t="shared" si="34"/>
        <v>-0.07265315955403251</v>
      </c>
      <c r="J72" s="5">
        <f t="shared" si="34"/>
        <v>0.018996613783440884</v>
      </c>
      <c r="K72" s="5">
        <f t="shared" si="34"/>
        <v>0.10272871875612362</v>
      </c>
      <c r="L72" s="5">
        <f t="shared" si="34"/>
        <v>0.17414814711246515</v>
      </c>
      <c r="M72" s="5">
        <f t="shared" si="34"/>
        <v>0.23142125409532505</v>
      </c>
      <c r="N72" s="5">
        <f t="shared" si="34"/>
        <v>0.2746609095210038</v>
      </c>
      <c r="O72" s="5">
        <f t="shared" si="34"/>
        <v>0.3053117367500616</v>
      </c>
      <c r="P72" s="5">
        <f t="shared" si="34"/>
        <v>0.32557357916359325</v>
      </c>
      <c r="Q72" s="5">
        <f t="shared" si="34"/>
        <v>0.3379097615737205</v>
      </c>
      <c r="R72" s="5">
        <f t="shared" si="34"/>
        <v>0.34466230420292704</v>
      </c>
      <c r="S72" s="5">
        <f t="shared" si="34"/>
        <v>0.347745937823748</v>
      </c>
      <c r="T72" s="5">
        <f t="shared" si="34"/>
        <v>0.34832227381541725</v>
      </c>
      <c r="U72" s="5">
        <f t="shared" si="34"/>
        <v>0.3462532742884107</v>
      </c>
      <c r="V72" s="5">
        <f t="shared" si="34"/>
        <v>0.3389803170789653</v>
      </c>
      <c r="W72" s="5">
        <f t="shared" si="34"/>
        <v>0.3193896699358883</v>
      </c>
      <c r="X72" s="5">
        <f t="shared" si="34"/>
        <v>0.2731271706805325</v>
      </c>
      <c r="Y72" s="5">
        <f t="shared" si="34"/>
        <v>0.18058591703948582</v>
      </c>
      <c r="Z72" s="5">
        <f t="shared" si="34"/>
        <v>0.03571557851568086</v>
      </c>
    </row>
    <row r="73" spans="1:26" s="108" customFormat="1" ht="12.75">
      <c r="A73" t="s">
        <v>27</v>
      </c>
      <c r="B73" s="5">
        <f>1+(TAN($B$71)^2)-B72^2</f>
        <v>3.9987243974512885</v>
      </c>
      <c r="C73" s="5">
        <f aca="true" t="shared" si="35" ref="C73:Z73">1+(TAN($B$71)^2)-C72^2</f>
        <v>3.983762876265327</v>
      </c>
      <c r="D73" s="5">
        <f t="shared" si="35"/>
        <v>3.936335663205137</v>
      </c>
      <c r="E73" s="5">
        <f t="shared" si="35"/>
        <v>3.9048229687438676</v>
      </c>
      <c r="F73" s="5">
        <f t="shared" si="35"/>
        <v>3.9099613014304277</v>
      </c>
      <c r="G73" s="5">
        <f t="shared" si="35"/>
        <v>3.9396508020105565</v>
      </c>
      <c r="H73" s="5">
        <f t="shared" si="35"/>
        <v>3.972888772938661</v>
      </c>
      <c r="I73" s="5">
        <f t="shared" si="35"/>
        <v>3.9947215184068146</v>
      </c>
      <c r="J73" s="5">
        <f t="shared" si="35"/>
        <v>3.999639128664761</v>
      </c>
      <c r="K73" s="5">
        <f t="shared" si="35"/>
        <v>3.9894468103427236</v>
      </c>
      <c r="L73" s="5">
        <f t="shared" si="35"/>
        <v>3.9696724228572933</v>
      </c>
      <c r="M73" s="5">
        <f t="shared" si="35"/>
        <v>3.946444203152945</v>
      </c>
      <c r="N73" s="5">
        <f t="shared" si="35"/>
        <v>3.9245613847810934</v>
      </c>
      <c r="O73" s="5">
        <f t="shared" si="35"/>
        <v>3.9067847434026595</v>
      </c>
      <c r="P73" s="5">
        <f t="shared" si="35"/>
        <v>3.8940018445506057</v>
      </c>
      <c r="Q73" s="5">
        <f t="shared" si="35"/>
        <v>3.8858169930331896</v>
      </c>
      <c r="R73" s="5">
        <f t="shared" si="35"/>
        <v>3.881207896061527</v>
      </c>
      <c r="S73" s="5">
        <f t="shared" si="35"/>
        <v>3.87907276272708</v>
      </c>
      <c r="T73" s="5">
        <f t="shared" si="35"/>
        <v>3.878671593564056</v>
      </c>
      <c r="U73" s="5">
        <f t="shared" si="35"/>
        <v>3.880108670044553</v>
      </c>
      <c r="V73" s="5">
        <f t="shared" si="35"/>
        <v>3.8850923446330423</v>
      </c>
      <c r="W73" s="5">
        <f t="shared" si="35"/>
        <v>3.8979902387382426</v>
      </c>
      <c r="X73" s="5">
        <f t="shared" si="35"/>
        <v>3.9254015486360454</v>
      </c>
      <c r="Y73" s="5">
        <f t="shared" si="35"/>
        <v>3.9673887265670063</v>
      </c>
      <c r="Z73" s="5">
        <f t="shared" si="35"/>
        <v>3.9987243974512885</v>
      </c>
    </row>
    <row r="74" spans="1:26" s="108" customFormat="1" ht="12.75">
      <c r="A74" t="s">
        <v>60</v>
      </c>
      <c r="B74" s="5">
        <f>(1-SQRT(B73))/(B72-TAN($B$71))</f>
        <v>0.589318111663773</v>
      </c>
      <c r="C74" s="5">
        <f aca="true" t="shared" si="36" ref="C74:Z74">(1-SQRT(C73))/(C72-TAN($B$71))</f>
        <v>0.5356007331048287</v>
      </c>
      <c r="D74" s="5">
        <f t="shared" si="36"/>
        <v>0.49588569839281554</v>
      </c>
      <c r="E74" s="5">
        <f t="shared" si="36"/>
        <v>0.4783310373093266</v>
      </c>
      <c r="F74" s="5">
        <f t="shared" si="36"/>
        <v>0.4809580483895681</v>
      </c>
      <c r="G74" s="5">
        <f t="shared" si="36"/>
        <v>0.4979772519863696</v>
      </c>
      <c r="H74" s="5">
        <f t="shared" si="36"/>
        <v>0.5236503901908783</v>
      </c>
      <c r="I74" s="5">
        <f t="shared" si="36"/>
        <v>0.5533760451343345</v>
      </c>
      <c r="J74" s="5">
        <f t="shared" si="36"/>
        <v>0.5837000275640579</v>
      </c>
      <c r="K74" s="5">
        <f t="shared" si="36"/>
        <v>0.6121318596127349</v>
      </c>
      <c r="L74" s="5">
        <f t="shared" si="36"/>
        <v>0.6370126355667398</v>
      </c>
      <c r="M74" s="5">
        <f t="shared" si="36"/>
        <v>0.6574346946323198</v>
      </c>
      <c r="N74" s="5">
        <f t="shared" si="36"/>
        <v>0.6731558777387863</v>
      </c>
      <c r="O74" s="5">
        <f t="shared" si="36"/>
        <v>0.6844691040700297</v>
      </c>
      <c r="P74" s="5">
        <f t="shared" si="36"/>
        <v>0.6920286512675232</v>
      </c>
      <c r="Q74" s="5">
        <f t="shared" si="36"/>
        <v>0.6966637812795133</v>
      </c>
      <c r="R74" s="5">
        <f t="shared" si="36"/>
        <v>0.6992116067742402</v>
      </c>
      <c r="S74" s="5">
        <f t="shared" si="36"/>
        <v>0.7003776413586074</v>
      </c>
      <c r="T74" s="5">
        <f t="shared" si="36"/>
        <v>0.7005957525264289</v>
      </c>
      <c r="U74" s="5">
        <f t="shared" si="36"/>
        <v>0.6998130111392368</v>
      </c>
      <c r="V74" s="5">
        <f t="shared" si="36"/>
        <v>0.697067209653879</v>
      </c>
      <c r="W74" s="5">
        <f t="shared" si="36"/>
        <v>0.6897144921727871</v>
      </c>
      <c r="X74" s="5">
        <f t="shared" si="36"/>
        <v>0.6725935408452633</v>
      </c>
      <c r="Y74" s="5">
        <f t="shared" si="36"/>
        <v>0.6392864592032335</v>
      </c>
      <c r="Z74" s="5">
        <f t="shared" si="36"/>
        <v>0.589318111663773</v>
      </c>
    </row>
    <row r="75" spans="1:26" s="108" customFormat="1" ht="12.75">
      <c r="A75" t="s">
        <v>61</v>
      </c>
      <c r="B75" s="5">
        <f>2*ATAN(B74)</f>
        <v>1.0650562897340665</v>
      </c>
      <c r="C75" s="5">
        <f aca="true" t="shared" si="37" ref="C75:Z75">2*ATAN(C74)</f>
        <v>0.9834418813060167</v>
      </c>
      <c r="D75" s="5">
        <f t="shared" si="37"/>
        <v>0.9207015078756062</v>
      </c>
      <c r="E75" s="5">
        <f t="shared" si="37"/>
        <v>0.8923253062648219</v>
      </c>
      <c r="F75" s="5">
        <f t="shared" si="37"/>
        <v>0.8965966639983524</v>
      </c>
      <c r="G75" s="5">
        <f t="shared" si="37"/>
        <v>0.9240562033250811</v>
      </c>
      <c r="H75" s="5">
        <f t="shared" si="37"/>
        <v>0.9647768302014412</v>
      </c>
      <c r="I75" s="5">
        <f t="shared" si="37"/>
        <v>1.0108629771221447</v>
      </c>
      <c r="J75" s="5">
        <f t="shared" si="37"/>
        <v>1.056696000913562</v>
      </c>
      <c r="K75" s="5">
        <f t="shared" si="37"/>
        <v>1.0985845231741591</v>
      </c>
      <c r="L75" s="5">
        <f t="shared" si="37"/>
        <v>1.1343820329357526</v>
      </c>
      <c r="M75" s="5">
        <f t="shared" si="37"/>
        <v>1.1631679537474326</v>
      </c>
      <c r="N75" s="5">
        <f t="shared" si="37"/>
        <v>1.1849633785855904</v>
      </c>
      <c r="O75" s="5">
        <f t="shared" si="37"/>
        <v>1.200452635561081</v>
      </c>
      <c r="P75" s="5">
        <f t="shared" si="37"/>
        <v>1.210712014454379</v>
      </c>
      <c r="Q75" s="5">
        <f t="shared" si="37"/>
        <v>1.2169667605187187</v>
      </c>
      <c r="R75" s="5">
        <f t="shared" si="37"/>
        <v>1.2203932908318744</v>
      </c>
      <c r="S75" s="5">
        <f t="shared" si="37"/>
        <v>1.2219587400039422</v>
      </c>
      <c r="T75" s="5">
        <f t="shared" si="37"/>
        <v>1.2222513728051556</v>
      </c>
      <c r="U75" s="5">
        <f t="shared" si="37"/>
        <v>1.2212009149694822</v>
      </c>
      <c r="V75" s="5">
        <f t="shared" si="37"/>
        <v>1.2175098710894807</v>
      </c>
      <c r="W75" s="5">
        <f t="shared" si="37"/>
        <v>1.207579064110318</v>
      </c>
      <c r="X75" s="5">
        <f t="shared" si="37"/>
        <v>1.1841892152673366</v>
      </c>
      <c r="Y75" s="5">
        <f t="shared" si="37"/>
        <v>1.1376136523836813</v>
      </c>
      <c r="Z75" s="5">
        <f t="shared" si="37"/>
        <v>1.0650562897340665</v>
      </c>
    </row>
    <row r="76" spans="1:26" s="110" customFormat="1" ht="12.75">
      <c r="A76" s="2" t="s">
        <v>67</v>
      </c>
      <c r="B76" s="6">
        <f>B75-1</f>
        <v>0.06505628973406652</v>
      </c>
      <c r="C76" s="6">
        <f aca="true" t="shared" si="38" ref="C76:Z76">C75-1</f>
        <v>-0.01655811869398327</v>
      </c>
      <c r="D76" s="6">
        <f t="shared" si="38"/>
        <v>-0.07929849212439377</v>
      </c>
      <c r="E76" s="6">
        <f t="shared" si="38"/>
        <v>-0.10767469373517813</v>
      </c>
      <c r="F76" s="6">
        <f t="shared" si="38"/>
        <v>-0.10340333600164764</v>
      </c>
      <c r="G76" s="6">
        <f t="shared" si="38"/>
        <v>-0.0759437966749189</v>
      </c>
      <c r="H76" s="6">
        <f t="shared" si="38"/>
        <v>-0.03522316979855877</v>
      </c>
      <c r="I76" s="6">
        <f t="shared" si="38"/>
        <v>0.01086297712214468</v>
      </c>
      <c r="J76" s="6">
        <f t="shared" si="38"/>
        <v>0.05669600091356197</v>
      </c>
      <c r="K76" s="6">
        <f t="shared" si="38"/>
        <v>0.09858452317415911</v>
      </c>
      <c r="L76" s="6">
        <f t="shared" si="38"/>
        <v>0.13438203293575257</v>
      </c>
      <c r="M76" s="6">
        <f t="shared" si="38"/>
        <v>0.16316795374743265</v>
      </c>
      <c r="N76" s="6">
        <f t="shared" si="38"/>
        <v>0.18496337858559042</v>
      </c>
      <c r="O76" s="6">
        <f t="shared" si="38"/>
        <v>0.20045263556108095</v>
      </c>
      <c r="P76" s="6">
        <f t="shared" si="38"/>
        <v>0.21071201445437904</v>
      </c>
      <c r="Q76" s="6">
        <f t="shared" si="38"/>
        <v>0.21696676051871866</v>
      </c>
      <c r="R76" s="6">
        <f t="shared" si="38"/>
        <v>0.22039329083187442</v>
      </c>
      <c r="S76" s="6">
        <f t="shared" si="38"/>
        <v>0.22195874000394222</v>
      </c>
      <c r="T76" s="6">
        <f t="shared" si="38"/>
        <v>0.2222513728051556</v>
      </c>
      <c r="U76" s="6">
        <f t="shared" si="38"/>
        <v>0.22120091496948224</v>
      </c>
      <c r="V76" s="6">
        <f t="shared" si="38"/>
        <v>0.21750987108948072</v>
      </c>
      <c r="W76" s="6">
        <f t="shared" si="38"/>
        <v>0.2075790641103179</v>
      </c>
      <c r="X76" s="6">
        <f t="shared" si="38"/>
        <v>0.18418921526733656</v>
      </c>
      <c r="Y76" s="6">
        <f t="shared" si="38"/>
        <v>0.13761365238368128</v>
      </c>
      <c r="Z76" s="6">
        <f t="shared" si="38"/>
        <v>0.06505628973406652</v>
      </c>
    </row>
    <row r="77" spans="1:26" s="111" customFormat="1" ht="12.75">
      <c r="A77" s="3" t="s">
        <v>62</v>
      </c>
      <c r="B77" s="7">
        <f aca="true" t="shared" si="39" ref="B77:Z77">B39*$B$10*COS(B62-$B$71)/($B$11*COS(B75-$B$71))</f>
        <v>-0.31187553595763023</v>
      </c>
      <c r="C77" s="7">
        <f t="shared" si="39"/>
        <v>-0.29182817676102996</v>
      </c>
      <c r="D77" s="7">
        <f t="shared" si="39"/>
        <v>-0.17747166896255873</v>
      </c>
      <c r="E77" s="7">
        <f t="shared" si="39"/>
        <v>-0.04118059977181704</v>
      </c>
      <c r="F77" s="7">
        <f t="shared" si="39"/>
        <v>0.06732942438366049</v>
      </c>
      <c r="G77" s="7">
        <f t="shared" si="39"/>
        <v>0.1359966625007242</v>
      </c>
      <c r="H77" s="7">
        <f t="shared" si="39"/>
        <v>0.17005801234407597</v>
      </c>
      <c r="I77" s="7">
        <f t="shared" si="39"/>
        <v>0.1784635785426474</v>
      </c>
      <c r="J77" s="7">
        <f t="shared" si="39"/>
        <v>0.16934968650613472</v>
      </c>
      <c r="K77" s="7">
        <f t="shared" si="39"/>
        <v>0.1493084252435242</v>
      </c>
      <c r="L77" s="7">
        <f t="shared" si="39"/>
        <v>0.12359614858277551</v>
      </c>
      <c r="M77" s="7">
        <f t="shared" si="39"/>
        <v>0.09634327621908423</v>
      </c>
      <c r="N77" s="7">
        <f t="shared" si="39"/>
        <v>0.07061466445751495</v>
      </c>
      <c r="O77" s="7">
        <f t="shared" si="39"/>
        <v>0.04841538683008086</v>
      </c>
      <c r="P77" s="7">
        <f t="shared" si="39"/>
        <v>0.0307530470857419</v>
      </c>
      <c r="Q77" s="7">
        <f t="shared" si="39"/>
        <v>0.01778843593522546</v>
      </c>
      <c r="R77" s="7">
        <f t="shared" si="39"/>
        <v>0.009013946607276955</v>
      </c>
      <c r="S77" s="7">
        <f t="shared" si="39"/>
        <v>0.0033359013721413265</v>
      </c>
      <c r="T77" s="7">
        <f t="shared" si="39"/>
        <v>-0.0011113142576593784</v>
      </c>
      <c r="U77" s="7">
        <f t="shared" si="39"/>
        <v>-0.007671556446373652</v>
      </c>
      <c r="V77" s="7">
        <f t="shared" si="39"/>
        <v>-0.02271484970881192</v>
      </c>
      <c r="W77" s="7">
        <f t="shared" si="39"/>
        <v>-0.0577469485422405</v>
      </c>
      <c r="X77" s="7">
        <f t="shared" si="39"/>
        <v>-0.12771871773107124</v>
      </c>
      <c r="Y77" s="7">
        <f t="shared" si="39"/>
        <v>-0.2310472351871163</v>
      </c>
      <c r="Z77" s="7">
        <f t="shared" si="39"/>
        <v>-0.3118755359576304</v>
      </c>
    </row>
    <row r="78" spans="1:26" s="108" customFormat="1" ht="12.75">
      <c r="A78" t="s">
        <v>63</v>
      </c>
      <c r="B78" s="5">
        <f aca="true" t="shared" si="40" ref="B78:Z78">(B43*$B$10*(SIN(B62)*TAN($B$71)+COS(B62))+(B39^2)*$B$10*(COS(B62)*TAN($B$71)-SIN(B62))-(B77^2)*$B$11*(COS(B75)*TAN($B$71)-SIN(B75)))/($B$11*(SIN(B75)*TAN($B$71)+COS(B75)))</f>
        <v>-0.1493343050248371</v>
      </c>
      <c r="C78" s="5">
        <f t="shared" si="40"/>
        <v>0.29557679447749385</v>
      </c>
      <c r="D78" s="5">
        <f t="shared" si="40"/>
        <v>0.5246065147462912</v>
      </c>
      <c r="E78" s="5">
        <f t="shared" si="40"/>
        <v>0.48486873295260075</v>
      </c>
      <c r="F78" s="5">
        <f t="shared" si="40"/>
        <v>0.3380458077137636</v>
      </c>
      <c r="G78" s="5">
        <f t="shared" si="40"/>
        <v>0.19069246588721278</v>
      </c>
      <c r="H78" s="5">
        <f t="shared" si="40"/>
        <v>0.0754481004136423</v>
      </c>
      <c r="I78" s="5">
        <f t="shared" si="40"/>
        <v>-0.006031445682850872</v>
      </c>
      <c r="J78" s="5">
        <f t="shared" si="40"/>
        <v>-0.05941697315507307</v>
      </c>
      <c r="K78" s="5">
        <f t="shared" si="40"/>
        <v>-0.09035470825277185</v>
      </c>
      <c r="L78" s="5">
        <f t="shared" si="40"/>
        <v>-0.10344578411753523</v>
      </c>
      <c r="M78" s="5">
        <f t="shared" si="40"/>
        <v>-0.10279889577555383</v>
      </c>
      <c r="N78" s="5">
        <f t="shared" si="40"/>
        <v>-0.09248041845279907</v>
      </c>
      <c r="O78" s="5">
        <f t="shared" si="40"/>
        <v>-0.07647831440206349</v>
      </c>
      <c r="P78" s="5">
        <f t="shared" si="40"/>
        <v>-0.05836217923445055</v>
      </c>
      <c r="Q78" s="5">
        <f t="shared" si="40"/>
        <v>-0.041010053838398085</v>
      </c>
      <c r="R78" s="5">
        <f t="shared" si="40"/>
        <v>-0.02670873463535733</v>
      </c>
      <c r="S78" s="5">
        <f t="shared" si="40"/>
        <v>-0.01781446509343598</v>
      </c>
      <c r="T78" s="5">
        <f t="shared" si="40"/>
        <v>-0.018191457559831443</v>
      </c>
      <c r="U78" s="5">
        <f t="shared" si="40"/>
        <v>-0.035820704210016444</v>
      </c>
      <c r="V78" s="5">
        <f t="shared" si="40"/>
        <v>-0.08639648772776372</v>
      </c>
      <c r="W78" s="5">
        <f t="shared" si="40"/>
        <v>-0.1918240398088352</v>
      </c>
      <c r="X78" s="5">
        <f t="shared" si="40"/>
        <v>-0.34504975498252183</v>
      </c>
      <c r="Y78" s="5">
        <f t="shared" si="40"/>
        <v>-0.40771974464628347</v>
      </c>
      <c r="Z78" s="5">
        <f t="shared" si="40"/>
        <v>-0.14933430502483727</v>
      </c>
    </row>
    <row r="79" spans="1:26" s="108" customFormat="1" ht="12.75">
      <c r="A7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108" customFormat="1" ht="12.75">
      <c r="A80" s="20"/>
      <c r="B80" s="102" t="s">
        <v>104</v>
      </c>
      <c r="C80" s="102"/>
      <c r="D80" s="102"/>
      <c r="E80" s="102"/>
      <c r="F80" s="102"/>
      <c r="G80" s="102"/>
      <c r="H80" s="102"/>
      <c r="I80" s="102"/>
      <c r="J80" s="102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108" customFormat="1" ht="12.75">
      <c r="A81" t="s">
        <v>64</v>
      </c>
      <c r="B81" s="5">
        <f>B63+($F$5-$D$10)*COS(B75-$B$75)-($F$6-$D$11)*SIN(B75-$B$75)</f>
        <v>3.59573090371413</v>
      </c>
      <c r="C81" s="5">
        <f>C63+($F$5-$D$10)*COS(C75-$B$75)-($F$6-$D$11)*SIN(C75-$B$75)</f>
        <v>3.8337916814999025</v>
      </c>
      <c r="D81" s="5">
        <f>D63+($F$5-$D$10)*COS(D75-$B$75)-($F$6-$D$11)*SIN(D75-$B$75)</f>
        <v>3.9864474653176383</v>
      </c>
      <c r="E81" s="5">
        <f>E63+($F$5-$D$10)*COS(E75-$B$75)-($F$6-$D$11)*SIN(E75-$B$75)</f>
        <v>4.049667500285296</v>
      </c>
      <c r="F81" s="5">
        <f>F63+($F$5-$D$10)*COS(F75-$B$75)-($F$6-$D$11)*SIN(F75-$B$75)</f>
        <v>4.040345674868727</v>
      </c>
      <c r="G81" s="5">
        <f>G63+($F$5-$D$10)*COS(G75-$B$75)-($F$6-$D$11)*SIN(G75-$B$75)</f>
        <v>3.9787616734759954</v>
      </c>
      <c r="H81" s="5">
        <f>H63+($F$5-$D$10)*COS(H75-$B$75)-($F$6-$D$11)*SIN(H75-$B$75)</f>
        <v>3.8813469990177394</v>
      </c>
      <c r="I81" s="5">
        <f>I63+($F$5-$D$10)*COS(I75-$B$75)-($F$6-$D$11)*SIN(I75-$B$75)</f>
        <v>3.759917363615631</v>
      </c>
      <c r="J81" s="5">
        <f>J63+($F$5-$D$10)*COS(J75-$B$75)-($F$6-$D$11)*SIN(J75-$B$75)</f>
        <v>3.622979964267419</v>
      </c>
      <c r="K81" s="5">
        <f>K63+($F$5-$D$10)*COS(K75-$B$75)-($F$6-$D$11)*SIN(K75-$B$75)</f>
        <v>3.4771552917196025</v>
      </c>
      <c r="L81" s="5">
        <f>L63+($F$5-$D$10)*COS(L75-$B$75)-($F$6-$D$11)*SIN(L75-$B$75)</f>
        <v>3.3281563407292687</v>
      </c>
      <c r="M81" s="5">
        <f>M63+($F$5-$D$10)*COS(M75-$B$75)-($F$6-$D$11)*SIN(M75-$B$75)</f>
        <v>3.181281946835723</v>
      </c>
      <c r="N81" s="5">
        <f>N63+($F$5-$D$10)*COS(N75-$B$75)-($F$6-$D$11)*SIN(N75-$B$75)</f>
        <v>3.0415396758047755</v>
      </c>
      <c r="O81" s="5">
        <f>O63+($F$5-$D$10)*COS(O75-$B$75)-($F$6-$D$11)*SIN(O75-$B$75)</f>
        <v>2.9135704384237586</v>
      </c>
      <c r="P81" s="5">
        <f>P63+($F$5-$D$10)*COS(P75-$B$75)-($F$6-$D$11)*SIN(P75-$B$75)</f>
        <v>2.80155929905086</v>
      </c>
      <c r="Q81" s="5">
        <f>Q63+($F$5-$D$10)*COS(Q75-$B$75)-($F$6-$D$11)*SIN(Q75-$B$75)</f>
        <v>2.709282960202481</v>
      </c>
      <c r="R81" s="5">
        <f>R63+($F$5-$D$10)*COS(R75-$B$75)-($F$6-$D$11)*SIN(R75-$B$75)</f>
        <v>2.6403775328023693</v>
      </c>
      <c r="S81" s="5">
        <f>S63+($F$5-$D$10)*COS(S75-$B$75)-($F$6-$D$11)*SIN(S75-$B$75)</f>
        <v>2.5988451908784427</v>
      </c>
      <c r="T81" s="5">
        <f>T63+($F$5-$D$10)*COS(T75-$B$75)-($F$6-$D$11)*SIN(T75-$B$75)</f>
        <v>2.589774377605899</v>
      </c>
      <c r="U81" s="5">
        <f>U63+($F$5-$D$10)*COS(U75-$B$75)-($F$6-$D$11)*SIN(U75-$B$75)</f>
        <v>2.6201824382612857</v>
      </c>
      <c r="V81" s="5">
        <f>V63+($F$5-$D$10)*COS(V75-$B$75)-($F$6-$D$11)*SIN(V75-$B$75)</f>
        <v>2.699631382202435</v>
      </c>
      <c r="W81" s="5">
        <f>W63+($F$5-$D$10)*COS(W75-$B$75)-($F$6-$D$11)*SIN(W75-$B$75)</f>
        <v>2.8394065164070845</v>
      </c>
      <c r="X81" s="5">
        <f>X63+($F$5-$D$10)*COS(X75-$B$75)-($F$6-$D$11)*SIN(X75-$B$75)</f>
        <v>3.0471461198166483</v>
      </c>
      <c r="Y81" s="5">
        <f>Y63+($F$5-$D$10)*COS(Y75-$B$75)-($F$6-$D$11)*SIN(Y75-$B$75)</f>
        <v>3.3131409588919287</v>
      </c>
      <c r="Z81" s="5">
        <f>Z63+($F$5-$D$10)*COS(Z75-$B$75)-($F$6-$D$11)*SIN(Z75-$B$75)</f>
        <v>3.59573090371413</v>
      </c>
    </row>
    <row r="82" spans="1:26" s="108" customFormat="1" ht="12.75">
      <c r="A82" t="s">
        <v>65</v>
      </c>
      <c r="B82" s="5">
        <f>B65+($F$5-$D$10)*SIN(B75-$B$75)+($F$6-$D$11)*COS(B75-$B$75)</f>
        <v>-0.7002146146970816</v>
      </c>
      <c r="C82" s="5">
        <f>C65+($F$5-$D$10)*SIN(C75-$B$75)+($F$6-$D$11)*COS(C75-$B$75)</f>
        <v>-0.28788125228275874</v>
      </c>
      <c r="D82" s="5">
        <f>D65+($F$5-$D$10)*SIN(D75-$B$75)+($F$6-$D$11)*COS(D75-$B$75)</f>
        <v>-0.023473678641189544</v>
      </c>
      <c r="E82" s="5">
        <f>E65+($F$5-$D$10)*SIN(E75-$B$75)+($F$6-$D$11)*COS(E75-$B$75)</f>
        <v>0.08602663397907317</v>
      </c>
      <c r="F82" s="5">
        <f>F65+($F$5-$D$10)*SIN(F75-$B$75)+($F$6-$D$11)*COS(F75-$B$75)</f>
        <v>0.06988075873828858</v>
      </c>
      <c r="G82" s="5">
        <f>G65+($F$5-$D$10)*SIN(G75-$B$75)+($F$6-$D$11)*COS(G75-$B$75)</f>
        <v>-0.036785860607316145</v>
      </c>
      <c r="H82" s="5">
        <f>H65+($F$5-$D$10)*SIN(H75-$B$75)+($F$6-$D$11)*COS(H75-$B$75)</f>
        <v>-0.20551302617179612</v>
      </c>
      <c r="I82" s="5">
        <f>I65+($F$5-$D$10)*SIN(I75-$B$75)+($F$6-$D$11)*COS(I75-$B$75)</f>
        <v>-0.415835324232809</v>
      </c>
      <c r="J82" s="5">
        <f>J65+($F$5-$D$10)*SIN(J75-$B$75)+($F$6-$D$11)*COS(J75-$B$75)</f>
        <v>-0.6530178573602634</v>
      </c>
      <c r="K82" s="5">
        <f>K65+($F$5-$D$10)*SIN(K75-$B$75)+($F$6-$D$11)*COS(K75-$B$75)</f>
        <v>-0.9055935992101767</v>
      </c>
      <c r="L82" s="5">
        <f>L65+($F$5-$D$10)*SIN(L75-$B$75)+($F$6-$D$11)*COS(L75-$B$75)</f>
        <v>-1.1636673525998988</v>
      </c>
      <c r="M82" s="5">
        <f>M65+($F$5-$D$10)*SIN(M75-$B$75)+($F$6-$D$11)*COS(M75-$B$75)</f>
        <v>-1.4180612651544053</v>
      </c>
      <c r="N82" s="5">
        <f>N65+($F$5-$D$10)*SIN(N75-$B$75)+($F$6-$D$11)*COS(N75-$B$75)</f>
        <v>-1.660101978545065</v>
      </c>
      <c r="O82" s="5">
        <f>O65+($F$5-$D$10)*SIN(O75-$B$75)+($F$6-$D$11)*COS(O75-$B$75)</f>
        <v>-1.88175119949483</v>
      </c>
      <c r="P82" s="5">
        <f>P65+($F$5-$D$10)*SIN(P75-$B$75)+($F$6-$D$11)*COS(P75-$B$75)</f>
        <v>-2.0757601839023665</v>
      </c>
      <c r="Q82" s="5">
        <f>Q65+($F$5-$D$10)*SIN(Q75-$B$75)+($F$6-$D$11)*COS(Q75-$B$75)</f>
        <v>-2.2355874911242024</v>
      </c>
      <c r="R82" s="5">
        <f>R65+($F$5-$D$10)*SIN(R75-$B$75)+($F$6-$D$11)*COS(R75-$B$75)</f>
        <v>-2.354935192298446</v>
      </c>
      <c r="S82" s="5">
        <f>S65+($F$5-$D$10)*SIN(S75-$B$75)+($F$6-$D$11)*COS(S75-$B$75)</f>
        <v>-2.4268713186680078</v>
      </c>
      <c r="T82" s="5">
        <f>T65+($F$5-$D$10)*SIN(T75-$B$75)+($F$6-$D$11)*COS(T75-$B$75)</f>
        <v>-2.442582428122026</v>
      </c>
      <c r="U82" s="5">
        <f>U65+($F$5-$D$10)*SIN(U75-$B$75)+($F$6-$D$11)*COS(U75-$B$75)</f>
        <v>-2.3899141221072595</v>
      </c>
      <c r="V82" s="5">
        <f>V65+($F$5-$D$10)*SIN(V75-$B$75)+($F$6-$D$11)*COS(V75-$B$75)</f>
        <v>-2.2523045145934963</v>
      </c>
      <c r="W82" s="5">
        <f>W65+($F$5-$D$10)*SIN(W75-$B$75)+($F$6-$D$11)*COS(W75-$B$75)</f>
        <v>-2.010206880516284</v>
      </c>
      <c r="X82" s="5">
        <f>X65+($F$5-$D$10)*SIN(X75-$B$75)+($F$6-$D$11)*COS(X75-$B$75)</f>
        <v>-1.6503913326667128</v>
      </c>
      <c r="Y82" s="5">
        <f>Y65+($F$5-$D$10)*SIN(Y75-$B$75)+($F$6-$D$11)*COS(Y75-$B$75)</f>
        <v>-1.189674756837221</v>
      </c>
      <c r="Z82" s="5">
        <f>Z65+($F$5-$D$10)*SIN(Z75-$B$75)+($F$6-$D$11)*COS(Z75-$B$75)</f>
        <v>-0.7002146146970816</v>
      </c>
    </row>
    <row r="83" spans="1:26" s="108" customFormat="1" ht="12.75">
      <c r="A83" t="s">
        <v>73</v>
      </c>
      <c r="B83" s="5">
        <f>B66-B77*(B82-B65)</f>
        <v>1.0318309592430408</v>
      </c>
      <c r="C83" s="5">
        <f>C66-C77*(C82-C65)</f>
        <v>0.7597168094781694</v>
      </c>
      <c r="D83" s="5">
        <f>D66-D77*(D82-D65)</f>
        <v>0.40534768131483045</v>
      </c>
      <c r="E83" s="5">
        <f>E66-E77*(E82-E65)</f>
        <v>0.08955779490380314</v>
      </c>
      <c r="F83" s="5">
        <f>F66-F77*(F82-F65)</f>
        <v>-0.1474588546659738</v>
      </c>
      <c r="G83" s="5">
        <f>G66-G77*(G82-G65)</f>
        <v>-0.31253974380387173</v>
      </c>
      <c r="H83" s="5">
        <f>H66-H77*(H82-H65)</f>
        <v>-0.42423015827495547</v>
      </c>
      <c r="I83" s="5">
        <f>I66-I77*(I82-I65)</f>
        <v>-0.4981023377984709</v>
      </c>
      <c r="J83" s="5">
        <f>J66-J77*(J82-J65)</f>
        <v>-0.5438698917434165</v>
      </c>
      <c r="K83" s="5">
        <f>K66-K77*(K82-K65)</f>
        <v>-0.5665417959778322</v>
      </c>
      <c r="L83" s="5">
        <f>L66-L77*(L82-L65)</f>
        <v>-0.5683592026035562</v>
      </c>
      <c r="M83" s="5">
        <f>M66-M77*(M82-M65)</f>
        <v>-0.5504840453068668</v>
      </c>
      <c r="N83" s="5">
        <f>N66-N77*(N82-N65)</f>
        <v>-0.5141066675092356</v>
      </c>
      <c r="O83" s="5">
        <f>O66-O77*(O82-O65)</f>
        <v>-0.4608442687726698</v>
      </c>
      <c r="P83" s="5">
        <f>P66-P77*(P82-P65)</f>
        <v>-0.3924704067746284</v>
      </c>
      <c r="Q83" s="5">
        <f>Q66-Q77*(Q82-Q65)</f>
        <v>-0.31018655798527495</v>
      </c>
      <c r="R83" s="5">
        <f>R66-R77*(R82-R65)</f>
        <v>-0.21371072261248786</v>
      </c>
      <c r="S83" s="5">
        <f>S66-S77*(S82-S65)</f>
        <v>-0.10038959826638999</v>
      </c>
      <c r="T83" s="5">
        <f>T66-T77*(T82-T65)</f>
        <v>0.03551278970231091</v>
      </c>
      <c r="U83" s="5">
        <f>U66-U77*(U82-U65)</f>
        <v>0.2029000265509489</v>
      </c>
      <c r="V83" s="5">
        <f>V66-V77*(V82-V65)</f>
        <v>0.4115213149332594</v>
      </c>
      <c r="W83" s="5">
        <f>W66-W77*(W82-W65)</f>
        <v>0.6620421499440261</v>
      </c>
      <c r="X83" s="5">
        <f>X66-X77*(X82-X65)</f>
        <v>0.9200598172729737</v>
      </c>
      <c r="Y83" s="5">
        <f>Y66-Y77*(Y82-Y65)</f>
        <v>1.0848049060784852</v>
      </c>
      <c r="Z83" s="5">
        <f>Z66-Z77*(Z82-Z65)</f>
        <v>1.031830959243041</v>
      </c>
    </row>
    <row r="84" spans="1:26" s="108" customFormat="1" ht="12.75">
      <c r="A84" t="s">
        <v>74</v>
      </c>
      <c r="B84" s="5">
        <f>B67+B77*(B81-B63)</f>
        <v>1.7871836462314779</v>
      </c>
      <c r="C84" s="5">
        <f>C67+C77*(C81-C63)</f>
        <v>1.3158681133803127</v>
      </c>
      <c r="D84" s="5">
        <f>D67+D77*(D81-D63)</f>
        <v>0.7020827787675237</v>
      </c>
      <c r="E84" s="5">
        <f>E67+E77*(E81-E63)</f>
        <v>0.15511865098721997</v>
      </c>
      <c r="F84" s="5">
        <f>F67+F77*(F81-F63)</f>
        <v>-0.2554062283073815</v>
      </c>
      <c r="G84" s="5">
        <f>G67+G77*(G81-G63)</f>
        <v>-0.5413347156528657</v>
      </c>
      <c r="H84" s="5">
        <f>H67+H77*(H81-H63)</f>
        <v>-0.7347881882352091</v>
      </c>
      <c r="I84" s="5">
        <f>I67+I77*(I81-I63)</f>
        <v>-0.8627385564357868</v>
      </c>
      <c r="J84" s="5">
        <f>J67+J77*(J81-J63)</f>
        <v>-0.9420102852065819</v>
      </c>
      <c r="K84" s="5">
        <f>K67+K77*(K81-K63)</f>
        <v>-0.9812791752449256</v>
      </c>
      <c r="L84" s="5">
        <f>L67+L77*(L81-L63)</f>
        <v>-0.9844270158586921</v>
      </c>
      <c r="M84" s="5">
        <f>M67+M77*(M81-M63)</f>
        <v>-0.9534663352275407</v>
      </c>
      <c r="N84" s="5">
        <f>N67+N77*(N81-N63)</f>
        <v>-0.8904588686359157</v>
      </c>
      <c r="O84" s="5">
        <f>O67+O77*(O81-O63)</f>
        <v>-0.7982056878911911</v>
      </c>
      <c r="P84" s="5">
        <f>P67+P77*(P81-P63)</f>
        <v>-0.6797786850008805</v>
      </c>
      <c r="Q84" s="5">
        <f>Q67+Q77*(Q81-Q63)</f>
        <v>-0.5372588782554056</v>
      </c>
      <c r="R84" s="5">
        <f>R67+R77*(R81-R63)</f>
        <v>-0.3701578296870878</v>
      </c>
      <c r="S84" s="5">
        <f>S67+S77*(S81-S63)</f>
        <v>-0.1738798847488159</v>
      </c>
      <c r="T84" s="5">
        <f>T67+T77*(T81-T63)</f>
        <v>0.06150995608291132</v>
      </c>
      <c r="U84" s="5">
        <f>U67+U77*(U81-U63)</f>
        <v>0.35143315484331766</v>
      </c>
      <c r="V84" s="5">
        <f>V67+V77*(V81-V63)</f>
        <v>0.712775825861958</v>
      </c>
      <c r="W84" s="5">
        <f>W67+W77*(W81-W63)</f>
        <v>1.1466906404551862</v>
      </c>
      <c r="X84" s="5">
        <f>X67+X77*(X81-X63)</f>
        <v>1.5935903495193275</v>
      </c>
      <c r="Y84" s="5">
        <f>Y67+Y77*(Y81-Y63)</f>
        <v>1.87893721362792</v>
      </c>
      <c r="Z84" s="5">
        <f>Z67+Z77*(Z81-Z63)</f>
        <v>1.7871836462314783</v>
      </c>
    </row>
    <row r="85" spans="1:26" s="108" customFormat="1" ht="12.75">
      <c r="A85" t="s">
        <v>75</v>
      </c>
      <c r="B85" s="5">
        <f>B68-B78*(B82-B65)-B77*(B84-B67)</f>
        <v>-0.6802853645796936</v>
      </c>
      <c r="C85" s="5">
        <f>C68-C78*(C82-C65)-C77*(C84-C67)</f>
        <v>-1.2973860662146965</v>
      </c>
      <c r="D85" s="5">
        <f>D68-D78*(D82-D65)-D77*(D84-D67)</f>
        <v>-1.32956902646237</v>
      </c>
      <c r="E85" s="5">
        <f>E68-E78*(E82-E65)-E77*(E84-E67)</f>
        <v>-1.0604957304400662</v>
      </c>
      <c r="F85" s="5">
        <f>F68-F78*(F82-F65)-F77*(F84-F67)</f>
        <v>-0.7568453482146065</v>
      </c>
      <c r="G85" s="5">
        <f>G68-G78*(G82-G65)-G77*(G84-G67)</f>
        <v>-0.5169032430580287</v>
      </c>
      <c r="H85" s="5">
        <f>H68-H78*(H82-H65)-H77*(H84-H67)</f>
        <v>-0.34637645491690233</v>
      </c>
      <c r="I85" s="5">
        <f>I68-I78*(I82-I65)-I77*(I84-I67)</f>
        <v>-0.22405065273809452</v>
      </c>
      <c r="J85" s="5">
        <f>J68-J78*(J82-J65)-J77*(J84-J67)</f>
        <v>-0.1286460373643029</v>
      </c>
      <c r="K85" s="5">
        <f>K68-K78*(K82-K65)-K77*(K84-K67)</f>
        <v>-0.04587135369315666</v>
      </c>
      <c r="L85" s="5">
        <f>L68-L78*(L82-L65)-L77*(L84-L67)</f>
        <v>0.0313194230297727</v>
      </c>
      <c r="M85" s="5">
        <f>M68-M78*(M82-M65)-M77*(M84-M67)</f>
        <v>0.10450396672736367</v>
      </c>
      <c r="N85" s="5">
        <f>N68-N78*(N82-N65)-N77*(N84-N67)</f>
        <v>0.1723498533990611</v>
      </c>
      <c r="O85" s="5">
        <f>O68-O78*(O82-O65)-O77*(O84-O67)</f>
        <v>0.23336668897460855</v>
      </c>
      <c r="P85" s="5">
        <f>P68-P78*(P82-P65)-P77*(P84-P67)</f>
        <v>0.28814633771940545</v>
      </c>
      <c r="Q85" s="5">
        <f>Q68-Q78*(Q82-Q65)-Q77*(Q84-Q67)</f>
        <v>0.34057802939970794</v>
      </c>
      <c r="R85" s="5">
        <f>R68-R78*(R82-R65)-R77*(R84-R67)</f>
        <v>0.39808420113249254</v>
      </c>
      <c r="S85" s="5">
        <f>S68-S78*(S82-S65)-S77*(S84-S67)</f>
        <v>0.47125880388679886</v>
      </c>
      <c r="T85" s="5">
        <f>T68-T78*(T82-T65)-T77*(T84-T67)</f>
        <v>0.572731845052914</v>
      </c>
      <c r="U85" s="5">
        <f>U68-U78*(U82-U65)-U77*(U84-U67)</f>
        <v>0.7127542438978508</v>
      </c>
      <c r="V85" s="5">
        <f>V68-V78*(V82-V65)-V77*(V84-V67)</f>
        <v>0.8830514482891489</v>
      </c>
      <c r="W85" s="5">
        <f>W68-W78*(W82-W65)-W77*(W84-W67)</f>
        <v>1.0116410221732657</v>
      </c>
      <c r="X85" s="5">
        <f>X68-X78*(X82-X65)-X77*(X84-X67)</f>
        <v>0.8937512915065586</v>
      </c>
      <c r="Y85" s="5">
        <f>Y68-Y78*(Y82-Y65)-Y77*(Y84-Y67)</f>
        <v>0.2728920165890684</v>
      </c>
      <c r="Z85" s="5">
        <f>Z68-Z78*(Z82-Z65)-Z77*(Z84-Z67)</f>
        <v>-0.6802853645796937</v>
      </c>
    </row>
    <row r="86" spans="1:26" s="108" customFormat="1" ht="12.75">
      <c r="A86" t="s">
        <v>76</v>
      </c>
      <c r="B86" s="5">
        <f>B69+B78*(B81-B63)+B77*(B83-B66)</f>
        <v>-1.1782888150975466</v>
      </c>
      <c r="C86" s="5">
        <f>C69+C78*(C81-C63)+C77*(C83-C66)</f>
        <v>-2.2471385837157727</v>
      </c>
      <c r="D86" s="5">
        <f>D69+D78*(D81-D63)+D77*(D83-D66)</f>
        <v>-2.3028811060027126</v>
      </c>
      <c r="E86" s="5">
        <f>E69+E78*(E81-E63)+E77*(E83-E66)</f>
        <v>-1.8368324863320618</v>
      </c>
      <c r="F86" s="5">
        <f>F69+F78*(F81-F63)+F77*(F83-F66)</f>
        <v>-1.3108945965798569</v>
      </c>
      <c r="G86" s="5">
        <f>G69+G78*(G81-G63)+G77*(G83-G66)</f>
        <v>-0.89530267957363</v>
      </c>
      <c r="H86" s="5">
        <f>H69+H78*(H81-H63)+H77*(H83-H66)</f>
        <v>-0.5999416184616655</v>
      </c>
      <c r="I86" s="5">
        <f>I69+I78*(I81-I63)+I77*(I83-I66)</f>
        <v>-0.3880671140113504</v>
      </c>
      <c r="J86" s="5">
        <f>J69+J78*(J81-J63)+J77*(J83-J66)</f>
        <v>-0.22282147290737692</v>
      </c>
      <c r="K86" s="5">
        <f>K69+K78*(K81-K63)+K77*(K83-K66)</f>
        <v>-0.07945151520850961</v>
      </c>
      <c r="L86" s="5">
        <f>L69+L78*(L81-L63)+L77*(L83-L66)</f>
        <v>0.05424683195130915</v>
      </c>
      <c r="M86" s="5">
        <f>M69+M78*(M81-M63)+M77*(M83-M66)</f>
        <v>0.181006179964281</v>
      </c>
      <c r="N86" s="5">
        <f>N69+N78*(N81-N63)+N77*(N83-N66)</f>
        <v>0.2985187027642212</v>
      </c>
      <c r="O86" s="5">
        <f>O69+O78*(O81-O63)+O77*(O83-O66)</f>
        <v>0.4042029620981456</v>
      </c>
      <c r="P86" s="5">
        <f>P69+P78*(P81-P63)+P77*(P83-P66)</f>
        <v>0.49908409694491046</v>
      </c>
      <c r="Q86" s="5">
        <f>Q69+Q78*(Q81-Q63)+Q77*(Q83-Q66)</f>
        <v>0.5898984508619808</v>
      </c>
      <c r="R86" s="5">
        <f>R69+R78*(R81-R63)+R77*(R83-R66)</f>
        <v>0.6895020620519449</v>
      </c>
      <c r="S86" s="5">
        <f>S69+S78*(S81-S63)+S77*(S83-S66)</f>
        <v>0.8162441918460729</v>
      </c>
      <c r="T86" s="5">
        <f>T69+T78*(T81-T63)+T77*(T83-T66)</f>
        <v>0.9920006547443128</v>
      </c>
      <c r="U86" s="5">
        <f>U69+U78*(U81-U63)+U77*(U83-U66)</f>
        <v>1.234526563741417</v>
      </c>
      <c r="V86" s="5">
        <f>V69+V78*(V81-V63)+V77*(V83-V66)</f>
        <v>1.5294899741340862</v>
      </c>
      <c r="W86" s="5">
        <f>W69+W78*(W81-W63)+W77*(W83-W66)</f>
        <v>1.7522136494250093</v>
      </c>
      <c r="X86" s="5">
        <f>X69+X78*(X81-X63)+X77*(X83-X66)</f>
        <v>1.5480226462196611</v>
      </c>
      <c r="Y86" s="5">
        <f>Y69+Y78*(Y81-Y63)+Y77*(Y83-Y66)</f>
        <v>0.47266283771219664</v>
      </c>
      <c r="Z86" s="5">
        <f>Z69+Z78*(Z81-Z63)+Z77*(Z83-Z66)</f>
        <v>-1.1782888150975466</v>
      </c>
    </row>
    <row r="87" spans="1:26" s="108" customFormat="1" ht="12.75">
      <c r="A87" t="s">
        <v>299</v>
      </c>
      <c r="B87" s="5">
        <f>(B81-B63)^2+(B82-B65)^2-$B$11^2</f>
        <v>0</v>
      </c>
      <c r="C87" s="5">
        <f>(C81-C63)^2+(C82-C65)^2-$B$11^2</f>
        <v>0</v>
      </c>
      <c r="D87" s="5">
        <f>(D81-D63)^2+(D82-D65)^2-$B$11^2</f>
        <v>0</v>
      </c>
      <c r="E87" s="5">
        <f>(E81-E63)^2+(E82-E65)^2-$B$11^2</f>
        <v>0</v>
      </c>
      <c r="F87" s="5">
        <f>(F81-F63)^2+(F82-F65)^2-$B$11^2</f>
        <v>0</v>
      </c>
      <c r="G87" s="5">
        <f>(G81-G63)^2+(G82-G65)^2-$B$11^2</f>
        <v>0</v>
      </c>
      <c r="H87" s="5">
        <f>(H81-H63)^2+(H82-H65)^2-$B$11^2</f>
        <v>0</v>
      </c>
      <c r="I87" s="5">
        <f>(I81-I63)^2+(I82-I65)^2-$B$11^2</f>
        <v>0</v>
      </c>
      <c r="J87" s="5">
        <f>(J81-J63)^2+(J82-J65)^2-$B$11^2</f>
        <v>0</v>
      </c>
      <c r="K87" s="5">
        <f>(K81-K63)^2+(K82-K65)^2-$B$11^2</f>
        <v>0</v>
      </c>
      <c r="L87" s="5">
        <f>(L81-L63)^2+(L82-L65)^2-$B$11^2</f>
        <v>0</v>
      </c>
      <c r="M87" s="5">
        <f>(M81-M63)^2+(M82-M65)^2-$B$11^2</f>
        <v>0</v>
      </c>
      <c r="N87" s="5">
        <f>(N81-N63)^2+(N82-N65)^2-$B$11^2</f>
        <v>0</v>
      </c>
      <c r="O87" s="5">
        <f>(O81-O63)^2+(O82-O65)^2-$B$11^2</f>
        <v>0</v>
      </c>
      <c r="P87" s="5">
        <f>(P81-P63)^2+(P82-P65)^2-$B$11^2</f>
        <v>0</v>
      </c>
      <c r="Q87" s="5">
        <f>(Q81-Q63)^2+(Q82-Q65)^2-$B$11^2</f>
        <v>0</v>
      </c>
      <c r="R87" s="5">
        <f>(R81-R63)^2+(R82-R65)^2-$B$11^2</f>
        <v>0</v>
      </c>
      <c r="S87" s="5">
        <f>(S81-S63)^2+(S82-S65)^2-$B$11^2</f>
        <v>0</v>
      </c>
      <c r="T87" s="5">
        <f>(T81-T63)^2+(T82-T65)^2-$B$11^2</f>
        <v>0</v>
      </c>
      <c r="U87" s="5">
        <f>(U81-U63)^2+(U82-U65)^2-$B$11^2</f>
        <v>0</v>
      </c>
      <c r="V87" s="5">
        <f>(V81-V63)^2+(V82-V65)^2-$B$11^2</f>
        <v>0</v>
      </c>
      <c r="W87" s="5">
        <f>(W81-W63)^2+(W82-W65)^2-$B$11^2</f>
        <v>0</v>
      </c>
      <c r="X87" s="5">
        <f>(X81-X63)^2+(X82-X65)^2-$B$11^2</f>
        <v>0</v>
      </c>
      <c r="Y87" s="5">
        <f>(Y81-Y63)^2+(Y82-Y65)^2-$B$11^2</f>
        <v>0</v>
      </c>
      <c r="Z87" s="5">
        <f>(Z81-Z63)^2+(Z82-Z65)^2-$B$11^2</f>
        <v>0</v>
      </c>
    </row>
    <row r="88" spans="1:26" s="108" customFormat="1" ht="12.75">
      <c r="A88" s="22"/>
      <c r="B88" s="92" t="s">
        <v>300</v>
      </c>
      <c r="C88" s="92"/>
      <c r="D88" s="92"/>
      <c r="E88" s="92"/>
      <c r="F88" s="92"/>
      <c r="G88" s="92"/>
      <c r="H88" s="92"/>
      <c r="I88" s="92"/>
      <c r="J88" s="92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108" customFormat="1" ht="12.75">
      <c r="A89" t="s">
        <v>81</v>
      </c>
      <c r="B89" s="4">
        <f>RADIANS($F$8)</f>
        <v>0.08726646259971647</v>
      </c>
      <c r="C89" s="5" t="s">
        <v>82</v>
      </c>
      <c r="D89" s="5">
        <f>TAN($B$89)</f>
        <v>0.08748866352592401</v>
      </c>
      <c r="E89" s="103" t="s">
        <v>85</v>
      </c>
      <c r="F89" s="103"/>
      <c r="G89" s="5">
        <f>$F$7+$D$3*SIN($B$89)</f>
        <v>4.662383644882202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108" customFormat="1" ht="12.75">
      <c r="A90" t="s">
        <v>83</v>
      </c>
      <c r="B90" s="5">
        <f>$D$3+$G$89/((TAN(B37))-$D$89)</f>
        <v>6.520432718388327</v>
      </c>
      <c r="C90" s="5">
        <f>$D$3+$G$89/((TAN(C37))-$D$89)</f>
        <v>7.242877805761704</v>
      </c>
      <c r="D90" s="5">
        <f>$D$3+$G$89/((TAN(D37))-$D$89)</f>
        <v>7.727101968845073</v>
      </c>
      <c r="E90" s="5">
        <f>$D$3+$G$89/((TAN(E37))-$D$89)</f>
        <v>7.934946841652013</v>
      </c>
      <c r="F90" s="5">
        <f>$D$3+$G$89/((TAN(F37))-$D$89)</f>
        <v>7.903985781248985</v>
      </c>
      <c r="G90" s="5">
        <f>$D$3+$G$89/((TAN(G37))-$D$89)</f>
        <v>7.702159726249094</v>
      </c>
      <c r="H90" s="5">
        <f>$D$3+$G$89/((TAN(H37))-$D$89)</f>
        <v>7.391401709722717</v>
      </c>
      <c r="I90" s="5">
        <f>$D$3+$G$89/((TAN(I37))-$D$89)</f>
        <v>7.015499988734781</v>
      </c>
      <c r="J90" s="5">
        <f>$D$3+$G$89/((TAN(J37))-$D$89)</f>
        <v>6.601909161137676</v>
      </c>
      <c r="K90" s="5">
        <f>$D$3+$G$89/((TAN(K37))-$D$89)</f>
        <v>6.167277779714521</v>
      </c>
      <c r="L90" s="5">
        <f>$D$3+$G$89/((TAN(L37))-$D$89)</f>
        <v>5.7224454738606365</v>
      </c>
      <c r="M90" s="5">
        <f>$D$3+$G$89/((TAN(M37))-$D$89)</f>
        <v>5.27606544355009</v>
      </c>
      <c r="N90" s="5">
        <f>$D$3+$G$89/((TAN(N37))-$D$89)</f>
        <v>4.8370801412664655</v>
      </c>
      <c r="O90" s="5">
        <f>$D$3+$G$89/((TAN(O37))-$D$89)</f>
        <v>4.416409736176293</v>
      </c>
      <c r="P90" s="5">
        <f>$D$3+$G$89/((TAN(P37))-$D$89)</f>
        <v>4.028112768304455</v>
      </c>
      <c r="Q90" s="5">
        <f>$D$3+$G$89/((TAN(Q37))-$D$89)</f>
        <v>3.6901628907305266</v>
      </c>
      <c r="R90" s="5">
        <f>$D$3+$G$89/((TAN(R37))-$D$89)</f>
        <v>3.424869193938763</v>
      </c>
      <c r="S90" s="5">
        <f>$D$3+$G$89/((TAN(S37))-$D$89)</f>
        <v>3.2588055044013666</v>
      </c>
      <c r="T90" s="5">
        <f>$D$3+$G$89/((TAN(T37))-$D$89)</f>
        <v>3.221866508944152</v>
      </c>
      <c r="U90" s="5">
        <f>$D$3+$G$89/((TAN(U37))-$D$89)</f>
        <v>3.344736371124341</v>
      </c>
      <c r="V90" s="5">
        <f>$D$3+$G$89/((TAN(V37))-$D$89)</f>
        <v>3.6537179821757126</v>
      </c>
      <c r="W90" s="5">
        <f>$D$3+$G$89/((TAN(W37))-$D$89)</f>
        <v>4.1617519658239015</v>
      </c>
      <c r="X90" s="5">
        <f>$D$3+$G$89/((TAN(X37))-$D$89)</f>
        <v>4.8550528078651265</v>
      </c>
      <c r="Y90" s="5">
        <f>$D$3+$G$89/((TAN(Y37))-$D$89)</f>
        <v>5.677294879610422</v>
      </c>
      <c r="Z90" s="5">
        <f>$D$3+$G$89/((TAN(Z37))-$D$89)</f>
        <v>6.520432718388327</v>
      </c>
    </row>
    <row r="91" spans="1:26" s="108" customFormat="1" ht="12.75">
      <c r="A91" t="s">
        <v>84</v>
      </c>
      <c r="B91" s="5">
        <f>$D$4+$G$89*TAN(B37)/(TAN(B37)-$D$89)</f>
        <v>4.5679337462276814</v>
      </c>
      <c r="C91" s="5">
        <f>$D$4+$G$89*TAN(C37)/(TAN(C37)-$D$89)</f>
        <v>4.631139501392848</v>
      </c>
      <c r="D91" s="5">
        <f>$D$4+$G$89*TAN(D37)/(TAN(D37)-$D$89)</f>
        <v>4.673503626267972</v>
      </c>
      <c r="E91" s="5">
        <f>$D$4+$G$89*TAN(E37)/(TAN(E37)-$D$89)</f>
        <v>4.691687696410566</v>
      </c>
      <c r="F91" s="5">
        <f>$D$4+$G$89*TAN(F37)/(TAN(F37)-$D$89)</f>
        <v>4.6889789546145595</v>
      </c>
      <c r="G91" s="5">
        <f>$D$4+$G$89*TAN(G37)/(TAN(G37)-$D$89)</f>
        <v>4.67132146279791</v>
      </c>
      <c r="H91" s="5">
        <f>$D$4+$G$89*TAN(H37)/(TAN(H37)-$D$89)</f>
        <v>4.6441336592520495</v>
      </c>
      <c r="I91" s="5">
        <f>$D$4+$G$89*TAN(I37)/(TAN(I37)-$D$89)</f>
        <v>4.611246520065721</v>
      </c>
      <c r="J91" s="5">
        <f>$D$4+$G$89*TAN(J37)/(TAN(J37)-$D$89)</f>
        <v>4.575062011312668</v>
      </c>
      <c r="K91" s="5">
        <f>$D$4+$G$89*TAN(K37)/(TAN(K37)-$D$89)</f>
        <v>4.537036692625531</v>
      </c>
      <c r="L91" s="5">
        <f>$D$4+$G$89*TAN(L37)/(TAN(L37)-$D$89)</f>
        <v>4.49811890869322</v>
      </c>
      <c r="M91" s="5">
        <f>$D$4+$G$89*TAN(M37)/(TAN(M37)-$D$89)</f>
        <v>4.459065716416688</v>
      </c>
      <c r="N91" s="5">
        <f>$D$4+$G$89*TAN(N37)/(TAN(N37)-$D$89)</f>
        <v>4.42065947901237</v>
      </c>
      <c r="O91" s="5">
        <f>$D$4+$G$89*TAN(O37)/(TAN(O37)-$D$89)</f>
        <v>4.3838555874861225</v>
      </c>
      <c r="P91" s="5">
        <f>$D$4+$G$89*TAN(P37)/(TAN(P37)-$D$89)</f>
        <v>4.349884004715847</v>
      </c>
      <c r="Q91" s="5">
        <f>$D$4+$G$89*TAN(Q37)/(TAN(Q37)-$D$89)</f>
        <v>4.320317221588153</v>
      </c>
      <c r="R91" s="5">
        <f>$D$4+$G$89*TAN(R37)/(TAN(R37)-$D$89)</f>
        <v>4.29710703061399</v>
      </c>
      <c r="S91" s="5">
        <f>$D$4+$G$89*TAN(S37)/(TAN(S37)-$D$89)</f>
        <v>4.28257834035618</v>
      </c>
      <c r="T91" s="5">
        <f>$D$4+$G$89*TAN(T37)/(TAN(T37)-$D$89)</f>
        <v>4.279346597011637</v>
      </c>
      <c r="U91" s="5">
        <f>$D$4+$G$89*TAN(U37)/(TAN(U37)-$D$89)</f>
        <v>4.290096317041397</v>
      </c>
      <c r="V91" s="5">
        <f>$D$4+$G$89*TAN(V37)/(TAN(V37)-$D$89)</f>
        <v>4.317128705246368</v>
      </c>
      <c r="W91" s="5">
        <f>$D$4+$G$89*TAN(W37)/(TAN(W37)-$D$89)</f>
        <v>4.361575919501499</v>
      </c>
      <c r="X91" s="5">
        <f>$D$4+$G$89*TAN(X37)/(TAN(X37)-$D$89)</f>
        <v>4.422231883593084</v>
      </c>
      <c r="Y91" s="5">
        <f>$D$4+$G$89*TAN(Y37)/(TAN(Y37)-$D$89)</f>
        <v>4.494168743544867</v>
      </c>
      <c r="Z91" s="5">
        <f>$D$4+$G$89*TAN(Z37)/(TAN(Z37)-$D$89)</f>
        <v>4.5679337462276814</v>
      </c>
    </row>
    <row r="92" spans="1:26" s="108" customFormat="1" ht="12.75">
      <c r="A92" t="s">
        <v>213</v>
      </c>
      <c r="B92" s="5">
        <f>B91-4.5</f>
        <v>0.06793374622768145</v>
      </c>
      <c r="C92" s="5">
        <f>C91-4.5</f>
        <v>0.13113950139284825</v>
      </c>
      <c r="D92" s="5">
        <f>D91-4.5</f>
        <v>0.1735036262679719</v>
      </c>
      <c r="E92" s="5">
        <f>E91-4.5</f>
        <v>0.1916876964105656</v>
      </c>
      <c r="F92" s="5">
        <f>F91-4.5</f>
        <v>0.1889789546145595</v>
      </c>
      <c r="G92" s="5">
        <f>G91-4.5</f>
        <v>0.17132146279791005</v>
      </c>
      <c r="H92" s="5">
        <f>H91-4.5</f>
        <v>0.14413365925204946</v>
      </c>
      <c r="I92" s="5">
        <f>I91-4.5</f>
        <v>0.11124652006572067</v>
      </c>
      <c r="J92" s="5">
        <f>J91-4.5</f>
        <v>0.0750620113126681</v>
      </c>
      <c r="K92" s="5">
        <f>K91-4.5</f>
        <v>0.037036692625530776</v>
      </c>
      <c r="L92" s="5">
        <f>L91-4.5</f>
        <v>-0.0018810913067799362</v>
      </c>
      <c r="M92" s="5">
        <f>M91-4.5</f>
        <v>-0.040934283583312414</v>
      </c>
      <c r="N92" s="5">
        <f>N91-4.5</f>
        <v>-0.07934052098763011</v>
      </c>
      <c r="O92" s="5">
        <f>O91-4.5</f>
        <v>-0.11614441251387753</v>
      </c>
      <c r="P92" s="5">
        <f>P91-4.5</f>
        <v>-0.15011599528415331</v>
      </c>
      <c r="Q92" s="5">
        <f>Q91-4.5</f>
        <v>-0.17968277841184666</v>
      </c>
      <c r="R92" s="5">
        <f>R91-4.5</f>
        <v>-0.20289296938600998</v>
      </c>
      <c r="S92" s="5">
        <f>S91-4.5</f>
        <v>-0.21742165964382032</v>
      </c>
      <c r="T92" s="5">
        <f>T91-4.5</f>
        <v>-0.2206534029883631</v>
      </c>
      <c r="U92" s="5">
        <f>U91-4.5</f>
        <v>-0.20990368295860318</v>
      </c>
      <c r="V92" s="5">
        <f>V91-4.5</f>
        <v>-0.18287129475363173</v>
      </c>
      <c r="W92" s="5">
        <f>W91-4.5</f>
        <v>-0.13842408049850086</v>
      </c>
      <c r="X92" s="5">
        <f>X91-4.5</f>
        <v>-0.07776811640691594</v>
      </c>
      <c r="Y92" s="5">
        <f>Y91-4.5</f>
        <v>-0.005831256455133271</v>
      </c>
      <c r="Z92" s="5">
        <f>Z91-4.5</f>
        <v>0.06793374622768145</v>
      </c>
    </row>
    <row r="93" spans="1:26" s="108" customFormat="1" ht="12.75">
      <c r="A93" t="s">
        <v>154</v>
      </c>
      <c r="B93" s="5">
        <f>(TAN(B37))-$D$89</f>
        <v>-4.318752267039613</v>
      </c>
      <c r="C93" s="5">
        <f>(TAN(C37))-$D$89</f>
        <v>-13.05542954233514</v>
      </c>
      <c r="D93" s="5">
        <f>(TAN(D37))-$D$89</f>
        <v>36.68222992332447</v>
      </c>
      <c r="E93" s="5">
        <f>(TAN(E37))-$D$89</f>
        <v>13.919771931231104</v>
      </c>
      <c r="F93" s="5">
        <f>(TAN(F37))-$D$89</f>
        <v>15.337505674528181</v>
      </c>
      <c r="G93" s="5">
        <f>(TAN(G37))-$D$89</f>
        <v>45.6381767656073</v>
      </c>
      <c r="H93" s="5">
        <f>(TAN(H37))-$D$89</f>
        <v>-22.35101562282537</v>
      </c>
      <c r="I93" s="5">
        <f>(TAN(I37))-$D$89</f>
        <v>-7.976704114667041</v>
      </c>
      <c r="J93" s="5">
        <f>(TAN(J37))-$D$89</f>
        <v>-4.671301912956771</v>
      </c>
      <c r="K93" s="5">
        <f>(TAN(K37))-$D$89</f>
        <v>-3.2542132584173866</v>
      </c>
      <c r="L93" s="5">
        <f>(TAN(L37))-$D$89</f>
        <v>-2.4832214351020836</v>
      </c>
      <c r="M93" s="5">
        <f>(TAN(M37))-$D$89</f>
        <v>-2.006245671566826</v>
      </c>
      <c r="N93" s="5">
        <f>(TAN(N37))-$D$89</f>
        <v>-1.6874842135375372</v>
      </c>
      <c r="O93" s="5">
        <f>(TAN(O37))-$D$89</f>
        <v>-1.46450493264242</v>
      </c>
      <c r="P93" s="5">
        <f>(TAN(P37))-$D$89</f>
        <v>-1.305299787605279</v>
      </c>
      <c r="Q93" s="5">
        <f>(TAN(Q37))-$D$89</f>
        <v>-1.1924751631797104</v>
      </c>
      <c r="R93" s="5">
        <f>(TAN(R37))-$D$89</f>
        <v>-1.116703610366793</v>
      </c>
      <c r="S93" s="5">
        <f>(TAN(S37))-$D$89</f>
        <v>-1.0739863532051397</v>
      </c>
      <c r="T93" s="5">
        <f>(TAN(T37))-$D$89</f>
        <v>-1.064924962751148</v>
      </c>
      <c r="U93" s="5">
        <f>(TAN(U37))-$D$89</f>
        <v>-1.095674452046609</v>
      </c>
      <c r="V93" s="5">
        <f>(TAN(V37))-$D$89</f>
        <v>-1.1814623546476095</v>
      </c>
      <c r="W93" s="5">
        <f>(TAN(W37))-$D$89</f>
        <v>-1.3560347009692804</v>
      </c>
      <c r="X93" s="5">
        <f>(TAN(X37))-$D$89</f>
        <v>-1.698533093183497</v>
      </c>
      <c r="Y93" s="5">
        <f>(TAN(Y37))-$D$89</f>
        <v>-2.4249083208024693</v>
      </c>
      <c r="Z93" s="5">
        <f>(TAN(Z37))-$D$89</f>
        <v>-4.318752267039613</v>
      </c>
    </row>
    <row r="94" spans="1:26" s="111" customFormat="1" ht="12.75">
      <c r="A94" s="3" t="s">
        <v>86</v>
      </c>
      <c r="B94" s="7">
        <f>-B39*$G$89/((B93^2)*COS(B37)^2)</f>
        <v>3.081762542908837</v>
      </c>
      <c r="C94" s="7">
        <f>-C39*$G$89/((C93^2)*COS(C37)^2)</f>
        <v>2.3582059883907016</v>
      </c>
      <c r="D94" s="7">
        <f>-D39*$G$89/((D93^2)*COS(D37)^2)</f>
        <v>1.3172268676771834</v>
      </c>
      <c r="E94" s="7">
        <f>-E39*$G$89/((E93^2)*COS(E37)^2)</f>
        <v>0.2979988559650754</v>
      </c>
      <c r="F94" s="7">
        <f>-F39*$G$89/((F93^2)*COS(F37)^2)</f>
        <v>-0.48886966920418734</v>
      </c>
      <c r="G94" s="7">
        <f>-G39*$G$89/((G93^2)*COS(G37)^2)</f>
        <v>-1.0129051574832533</v>
      </c>
      <c r="H94" s="7">
        <f>-H39*$G$89/((H93^2)*COS(H37)^2)</f>
        <v>-1.3334461005666882</v>
      </c>
      <c r="I94" s="7">
        <f>-I39*$G$89/((I93^2)*COS(I37)^2)</f>
        <v>-1.5211379588059413</v>
      </c>
      <c r="J94" s="7">
        <f>-J39*$G$89/((J93^2)*COS(J37)^2)</f>
        <v>-1.6281867379583215</v>
      </c>
      <c r="K94" s="7">
        <f>-K39*$G$89/((K93^2)*COS(K37)^2)</f>
        <v>-1.6854790809663056</v>
      </c>
      <c r="L94" s="7">
        <f>-L39*$G$89/((L93^2)*COS(L37)^2)</f>
        <v>-1.7074347279999176</v>
      </c>
      <c r="M94" s="7">
        <f>-M39*$G$89/((M93^2)*COS(M37)^2)</f>
        <v>-1.6970697248708937</v>
      </c>
      <c r="N94" s="7">
        <f>-N39*$G$89/((N93^2)*COS(N37)^2)</f>
        <v>-1.6496515503413047</v>
      </c>
      <c r="O94" s="7">
        <f>-O39*$G$89/((O93^2)*COS(O37)^2)</f>
        <v>-1.5551328022935653</v>
      </c>
      <c r="P94" s="7">
        <f>-P39*$G$89/((P93^2)*COS(P37)^2)</f>
        <v>-1.3998229846731736</v>
      </c>
      <c r="Q94" s="7">
        <f>-Q39*$G$89/((Q93^2)*COS(Q37)^2)</f>
        <v>-1.1677203230493183</v>
      </c>
      <c r="R94" s="7">
        <f>-R39*$G$89/((R93^2)*COS(R37)^2)</f>
        <v>-0.8420031698468435</v>
      </c>
      <c r="S94" s="7">
        <f>-S39*$G$89/((S93^2)*COS(S37)^2)</f>
        <v>-0.40744709768475884</v>
      </c>
      <c r="T94" s="7">
        <f>-T39*$G$89/((T93^2)*COS(T37)^2)</f>
        <v>0.14510569191573525</v>
      </c>
      <c r="U94" s="7">
        <f>-U39*$G$89/((U93^2)*COS(U37)^2)</f>
        <v>0.8108599686926425</v>
      </c>
      <c r="V94" s="7">
        <f>-V39*$G$89/((V93^2)*COS(V37)^2)</f>
        <v>1.5586857693547491</v>
      </c>
      <c r="W94" s="7">
        <f>-W39*$G$89/((W93^2)*COS(W37)^2)</f>
        <v>2.314707964587011</v>
      </c>
      <c r="X94" s="7">
        <f>-X39*$G$89/((X93^2)*COS(X37)^2)</f>
        <v>2.94665184635485</v>
      </c>
      <c r="Y94" s="7">
        <f>-Y39*$G$89/((Y93^2)*COS(Y37)^2)</f>
        <v>3.265101589795986</v>
      </c>
      <c r="Z94" s="7">
        <f>-Z39*$G$89/((Z93^2)*COS(Z37)^2)</f>
        <v>3.081762542908838</v>
      </c>
    </row>
    <row r="95" spans="1:26" s="111" customFormat="1" ht="12.75">
      <c r="A95" s="3" t="s">
        <v>87</v>
      </c>
      <c r="B95" s="7">
        <f>-$G$89*$D$89*B39/((B93^2)*COS(B37)^2)</f>
        <v>0.26961928618334724</v>
      </c>
      <c r="C95" s="7">
        <f>-$G$89*$D$89*C39/((C93^2)*COS(C37)^2)</f>
        <v>0.2063162902431332</v>
      </c>
      <c r="D95" s="7">
        <f>-$G$89*$D$89*D39/((D93^2)*COS(D37)^2)</f>
        <v>0.11524241821351594</v>
      </c>
      <c r="E95" s="7">
        <f>-$G$89*$D$89*E39/((E93^2)*COS(E37)^2)</f>
        <v>0.026071521640638775</v>
      </c>
      <c r="F95" s="7">
        <f>-$G$89*$D$89*F39/((F93^2)*COS(F37)^2)</f>
        <v>-0.04277055399703492</v>
      </c>
      <c r="G95" s="7">
        <f>-$G$89*$D$89*G39/((G93^2)*COS(G37)^2)</f>
        <v>-0.08861771850672542</v>
      </c>
      <c r="H95" s="7">
        <f>-$G$89*$D$89*H39/((H93^2)*COS(H37)^2)</f>
        <v>-0.11666141722243442</v>
      </c>
      <c r="I95" s="7">
        <f>-$G$89*$D$89*I39/((I93^2)*COS(I37)^2)</f>
        <v>-0.13308232705448386</v>
      </c>
      <c r="J95" s="7">
        <f>-$G$89*$D$89*J39/((J93^2)*COS(J37)^2)</f>
        <v>-0.14244788167460742</v>
      </c>
      <c r="K95" s="7">
        <f>-$G$89*$D$89*K39/((K93^2)*COS(K37)^2)</f>
        <v>-0.14746031219464475</v>
      </c>
      <c r="L95" s="7">
        <f>-$G$89*$D$89*L39/((L93^2)*COS(L37)^2)</f>
        <v>-0.14938118241046236</v>
      </c>
      <c r="M95" s="7">
        <f>-$G$89*$D$89*M39/((M93^2)*COS(M37)^2)</f>
        <v>-0.14847436213926204</v>
      </c>
      <c r="N95" s="7">
        <f>-$G$89*$D$89*N39/((N93^2)*COS(N37)^2)</f>
        <v>-0.1443258094228293</v>
      </c>
      <c r="O95" s="7">
        <f>-$G$89*$D$89*O39/((O93^2)*COS(O37)^2)</f>
        <v>-0.13605649047798907</v>
      </c>
      <c r="P95" s="7">
        <f>-$G$89*$D$89*P39/((P93^2)*COS(P37)^2)</f>
        <v>-0.12246864210192596</v>
      </c>
      <c r="Q95" s="7">
        <f>-$G$89*$D$89*Q39/((Q93^2)*COS(Q37)^2)</f>
        <v>-0.10216229043564509</v>
      </c>
      <c r="R95" s="7">
        <f>-$G$89*$D$89*R39/((R93^2)*COS(R37)^2)</f>
        <v>-0.07366573201449193</v>
      </c>
      <c r="S95" s="7">
        <f>-$G$89*$D$89*S39/((S93^2)*COS(S37)^2)</f>
        <v>-0.03564700203395616</v>
      </c>
      <c r="T95" s="7">
        <f>-$G$89*$D$89*T39/((T93^2)*COS(T37)^2)</f>
        <v>0.012695103055712153</v>
      </c>
      <c r="U95" s="7">
        <f>-$G$89*$D$89*U39/((U93^2)*COS(U37)^2)</f>
        <v>0.07094105496759189</v>
      </c>
      <c r="V95" s="7">
        <f>-$G$89*$D$89*V39/((V93^2)*COS(V37)^2)</f>
        <v>0.13636733481772365</v>
      </c>
      <c r="W95" s="7">
        <f>-$G$89*$D$89*W39/((W93^2)*COS(W37)^2)</f>
        <v>0.20251070627452944</v>
      </c>
      <c r="X95" s="7">
        <f>-$G$89*$D$89*X39/((X93^2)*COS(X37)^2)</f>
        <v>0.2577986319137822</v>
      </c>
      <c r="Y95" s="7">
        <f>-$G$89*$D$89*Y39/((Y93^2)*COS(Y37)^2)</f>
        <v>0.28565937436762057</v>
      </c>
      <c r="Z95" s="7">
        <f>-$G$89*$D$89*Z39/((Z93^2)*COS(Z37)^2)</f>
        <v>0.2696192861833473</v>
      </c>
    </row>
    <row r="96" spans="1:26" s="108" customFormat="1" ht="12.75">
      <c r="A96" t="s">
        <v>88</v>
      </c>
      <c r="B96" s="5">
        <f>-$G$89*(B43+(2*B39^2)*(TAN(B37)-1/(B93*(COS(B37)^2))))/((COS(B37)^2)*B93^2)</f>
        <v>-1.789529880059503</v>
      </c>
      <c r="C96" s="5">
        <f>-$G$89*(C43+(2*C39^2)*(TAN(C37)-1/(C93*(COS(C37)^2))))/((COS(C37)^2)*C93^2)</f>
        <v>-3.5849136572407074</v>
      </c>
      <c r="D96" s="5">
        <f>-$G$89*(D43+(2*D39^2)*(TAN(D37)-1/(D93*(COS(D37)^2))))/((COS(D37)^2)*D93^2)</f>
        <v>-4.132145121398191</v>
      </c>
      <c r="E96" s="5">
        <f>-$G$89*(E43+(2*E39^2)*(TAN(E37)-1/(E93*(COS(E37)^2))))/((COS(E37)^2)*E93^2)</f>
        <v>-3.5181858855938652</v>
      </c>
      <c r="F96" s="5">
        <f>-$G$89*(F43+(2*F39^2)*(TAN(F37)-1/(F93*(COS(F37)^2))))/((COS(F37)^2)*F93^2)</f>
        <v>-2.4810966288312066</v>
      </c>
      <c r="G96" s="5">
        <f>-$G$89*(G43+(2*G39^2)*(TAN(G37)-1/(G93*(COS(G37)^2))))/((COS(G37)^2)*G93^2)</f>
        <v>-1.5651501136613513</v>
      </c>
      <c r="H96" s="5">
        <f>-$G$89*(H43+(2*H39^2)*(TAN(H37)-1/(H93*(COS(H37)^2))))/((COS(H37)^2)*H93^2)</f>
        <v>-0.930183628330784</v>
      </c>
      <c r="I96" s="5">
        <f>-$G$89*(I43+(2*I39^2)*(TAN(I37)-1/(I93*(COS(I37)^2))))/((COS(I37)^2)*I93^2)</f>
        <v>-0.5369218872843278</v>
      </c>
      <c r="J96" s="5">
        <f>-$G$89*(J43+(2*J39^2)*(TAN(J37)-1/(J93*(COS(J37)^2))))/((COS(J37)^2)*J93^2)</f>
        <v>-0.300167843018566</v>
      </c>
      <c r="K96" s="5">
        <f>-$G$89*(K43+(2*K39^2)*(TAN(K37)-1/(K93*(COS(K37)^2))))/((COS(K37)^2)*K93^2)</f>
        <v>-0.1463621256152645</v>
      </c>
      <c r="L96" s="5">
        <f>-$G$89*(L43+(2*L39^2)*(TAN(L37)-1/(L93*(COS(L37)^2))))/((COS(L37)^2)*L93^2)</f>
        <v>-0.023057634970426785</v>
      </c>
      <c r="M96" s="5">
        <f>-$G$89*(M43+(2*M39^2)*(TAN(M37)-1/(M93*(COS(M37)^2))))/((COS(M37)^2)*M93^2)</f>
        <v>0.105403721403185</v>
      </c>
      <c r="N96" s="5">
        <f>-$G$89*(N43+(2*N39^2)*(TAN(N37)-1/(N93*(COS(N37)^2))))/((COS(N37)^2)*N93^2)</f>
        <v>0.26334367384841095</v>
      </c>
      <c r="O96" s="5">
        <f>-$G$89*(O43+(2*O39^2)*(TAN(O37)-1/(O93*(COS(O37)^2))))/((COS(O37)^2)*O93^2)</f>
        <v>0.4675225830555155</v>
      </c>
      <c r="P96" s="5">
        <f>-$G$89*(P43+(2*P39^2)*(TAN(P37)-1/(P93*(COS(P37)^2))))/((COS(P37)^2)*P93^2)</f>
        <v>0.7292322196567337</v>
      </c>
      <c r="Q96" s="5">
        <f>-$G$89*(Q43+(2*Q39^2)*(TAN(Q37)-1/(Q93*(COS(Q37)^2))))/((COS(Q37)^2)*Q93^2)</f>
        <v>1.05475398912602</v>
      </c>
      <c r="R96" s="5">
        <f>-$G$89*(R43+(2*R39^2)*(TAN(R37)-1/(R93*(COS(R37)^2))))/((COS(R37)^2)*R93^2)</f>
        <v>1.4435053553349533</v>
      </c>
      <c r="S96" s="5">
        <f>-$G$89*(S43+(2*S39^2)*(TAN(S37)-1/(S93*(COS(S37)^2))))/((COS(S37)^2)*S93^2)</f>
        <v>1.8825790304592165</v>
      </c>
      <c r="T96" s="5">
        <f>-$G$89*(T43+(2*T39^2)*(TAN(T37)-1/(T93*(COS(T37)^2))))/((COS(T37)^2)*T93^2)</f>
        <v>2.336349453727906</v>
      </c>
      <c r="U96" s="5">
        <f>-$G$89*(U43+(2*U39^2)*(TAN(U37)-1/(U93*(COS(U37)^2))))/((COS(U37)^2)*U93^2)</f>
        <v>2.7309001513545907</v>
      </c>
      <c r="V96" s="5">
        <f>-$G$89*(V43+(2*V39^2)*(TAN(V37)-1/(V93*(COS(V37)^2))))/((COS(V37)^2)*V93^2)</f>
        <v>2.936156733069541</v>
      </c>
      <c r="W96" s="5">
        <f>-$G$89*(W43+(2*W39^2)*(TAN(W37)-1/(W93*(COS(W37)^2))))/((COS(W37)^2)*W93^2)</f>
        <v>2.755496449682529</v>
      </c>
      <c r="X96" s="5">
        <f>-$G$89*(X43+(2*X39^2)*(TAN(X37)-1/(X93*(COS(X37)^2))))/((COS(X37)^2)*X93^2)</f>
        <v>1.9485089897936725</v>
      </c>
      <c r="Y96" s="5">
        <f>-$G$89*(Y43+(2*Y39^2)*(TAN(Y37)-1/(Y93*(COS(Y37)^2))))/((COS(Y37)^2)*Y93^2)</f>
        <v>0.35396206547864095</v>
      </c>
      <c r="Z96" s="5">
        <f>-$G$89*(Z43+(2*Z39^2)*(TAN(Z37)-1/(Z93*(COS(Z37)^2))))/((COS(Z37)^2)*Z93^2)</f>
        <v>-1.7895298800595032</v>
      </c>
    </row>
    <row r="97" spans="1:26" s="111" customFormat="1" ht="12.75">
      <c r="A97" s="3" t="s">
        <v>89</v>
      </c>
      <c r="B97" s="7">
        <f>B96*$D$89</f>
        <v>-0.156563577546113</v>
      </c>
      <c r="C97" s="7">
        <f>C96*$D$89</f>
        <v>-0.3136393047278219</v>
      </c>
      <c r="D97" s="7">
        <f>D96*$D$89</f>
        <v>-0.3615158541662947</v>
      </c>
      <c r="E97" s="7">
        <f>E96*$D$89</f>
        <v>-0.3078013811663767</v>
      </c>
      <c r="F97" s="7">
        <f>F96*$D$89</f>
        <v>-0.2170678281351178</v>
      </c>
      <c r="G97" s="7">
        <f>G96*$D$89</f>
        <v>-0.13693289166167968</v>
      </c>
      <c r="H97" s="7">
        <f>H96*$D$89</f>
        <v>-0.08138052247635512</v>
      </c>
      <c r="I97" s="7">
        <f>I96*$D$89</f>
        <v>-0.046974578336322646</v>
      </c>
      <c r="J97" s="7">
        <f>J96*$D$89</f>
        <v>-0.0262612834191537</v>
      </c>
      <c r="K97" s="7">
        <f>K96*$D$89</f>
        <v>-0.012805026760892898</v>
      </c>
      <c r="L97" s="7">
        <f>L96*$D$89</f>
        <v>-0.0020172816676312477</v>
      </c>
      <c r="M97" s="7">
        <f>M96*$D$89</f>
        <v>0.009221630716223488</v>
      </c>
      <c r="N97" s="7">
        <f>N96*$D$89</f>
        <v>0.023039586073004298</v>
      </c>
      <c r="O97" s="7">
        <f>O96*$D$89</f>
        <v>0.040902925959714856</v>
      </c>
      <c r="P97" s="7">
        <f>P96*$D$89</f>
        <v>0.06379955229781067</v>
      </c>
      <c r="Q97" s="7">
        <f>Q96*$D$89</f>
        <v>0.09227901685727248</v>
      </c>
      <c r="R97" s="7">
        <f>R96*$D$89</f>
        <v>0.1262903543307691</v>
      </c>
      <c r="S97" s="7">
        <f>S96*$D$89</f>
        <v>0.16470432335680663</v>
      </c>
      <c r="T97" s="7">
        <f>T96*$D$89</f>
        <v>0.20440409123617714</v>
      </c>
      <c r="U97" s="7">
        <f>U96*$D$89</f>
        <v>0.23892280446475672</v>
      </c>
      <c r="V97" s="7">
        <f>V96*$D$89</f>
        <v>0.25688042847889736</v>
      </c>
      <c r="W97" s="7">
        <f>W96*$D$89</f>
        <v>0.24107470173315296</v>
      </c>
      <c r="X97" s="7">
        <f>X96*$D$89</f>
        <v>0.1704724473852967</v>
      </c>
      <c r="Y97" s="7">
        <f>Y96*$D$89</f>
        <v>0.0309676680476019</v>
      </c>
      <c r="Z97" s="7">
        <f>Z96*$D$89</f>
        <v>-0.15656357754611303</v>
      </c>
    </row>
    <row r="98" spans="1:26" s="110" customFormat="1" ht="12.75">
      <c r="A98" s="2" t="s">
        <v>214</v>
      </c>
      <c r="B98" s="6">
        <f>B95*((B43*(COS(B37)^2)*B93/B39)-2*(B39)*((1/(COS(B37)^2))-COS(B37)*SIN(B37)*B93))/((COS(B37)^2)*B93)</f>
        <v>-27.716015287706867</v>
      </c>
      <c r="C98" s="6">
        <f>C95*((C43*(COS(C37)^2)*C93/C39)-2*(C39)*((1/(COS(C37)^2))-COS(C37)*SIN(C37)*C93))/((COS(C37)^2)*C93)</f>
        <v>-458.52985700412574</v>
      </c>
      <c r="D98" s="6">
        <f>D95*((D43*(COS(D37)^2)*D93/D39)-2*(D39)*((1/(COS(D37)^2))-COS(D37)*SIN(D37)*D93))/((COS(D37)^2)*D93)</f>
        <v>3229.108622440944</v>
      </c>
      <c r="E98" s="6">
        <f>E95*((E43*(COS(E37)^2)*E93/E39)-2*(E39)*((1/(COS(E37)^2))-COS(E37)*SIN(E37)*E93))/((COS(E37)^2)*E93)</f>
        <v>8.794296500122604</v>
      </c>
      <c r="F98" s="6">
        <f>F95*((F43*(COS(F37)^2)*F93/F39)-2*(F39)*((1/(COS(F37)^2))-COS(F37)*SIN(F37)*F93))/((COS(F37)^2)*F93)</f>
        <v>32.51434267910469</v>
      </c>
      <c r="G98" s="6">
        <f>G95*((G43*(COS(G37)^2)*G93/G39)-2*(G39)*((1/(COS(G37)^2))-COS(G37)*SIN(G37)*G93))/((COS(G37)^2)*G93)</f>
        <v>3674.0368256914157</v>
      </c>
      <c r="H98" s="6">
        <f>H95*((H43*(COS(H37)^2)*H93/H39)-2*(H39)*((1/(COS(H37)^2))-COS(H37)*SIN(H37)*H93))/((COS(H37)^2)*H93)</f>
        <v>-739.3629793748622</v>
      </c>
      <c r="I98" s="6">
        <f>I95*((I43*(COS(I37)^2)*I93/I39)-2*(I39)*((1/(COS(I37)^2))-COS(I37)*SIN(I37)*I93))/((COS(I37)^2)*I93)</f>
        <v>-43.15936417734639</v>
      </c>
      <c r="J98" s="6">
        <f>J95*((J43*(COS(J37)^2)*J93/J39)-2*(J39)*((1/(COS(J37)^2))-COS(J37)*SIN(J37)*J93))/((COS(J37)^2)*J93)</f>
        <v>-9.791299914804648</v>
      </c>
      <c r="K98" s="6">
        <f>K95*((K43*(COS(K37)^2)*K93/K39)-2*(K39)*((1/(COS(K37)^2))-COS(K37)*SIN(K37)*K93))/((COS(K37)^2)*K93)</f>
        <v>-3.4920667971635084</v>
      </c>
      <c r="L98" s="6">
        <f>L95*((L43*(COS(L37)^2)*L93/L39)-2*(L39)*((1/(COS(L37)^2))-COS(L37)*SIN(L37)*L93))/((COS(L37)^2)*L93)</f>
        <v>-1.5614052820433586</v>
      </c>
      <c r="M98" s="6">
        <f>M95*((M43*(COS(M37)^2)*M93/M39)-2*(M39)*((1/(COS(M37)^2))-COS(M37)*SIN(M37)*M93))/((COS(M37)^2)*M93)</f>
        <v>-0.7891355096812154</v>
      </c>
      <c r="N98" s="6">
        <f>N95*((N43*(COS(N37)^2)*N93/N39)-2*(N39)*((1/(COS(N37)^2))-COS(N37)*SIN(N37)*N93))/((COS(N37)^2)*N93)</f>
        <v>-0.41816038837545</v>
      </c>
      <c r="O98" s="6">
        <f>O95*((O43*(COS(O37)^2)*O93/O39)-2*(O39)*((1/(COS(O37)^2))-COS(O37)*SIN(O37)*O93))/((COS(O37)^2)*O93)</f>
        <v>-0.21114185956056952</v>
      </c>
      <c r="P98" s="6">
        <f>P95*((P43*(COS(P37)^2)*P93/P39)-2*(P39)*((1/(COS(P37)^2))-COS(P37)*SIN(P37)*P93))/((COS(P37)^2)*P93)</f>
        <v>-0.07856116013026944</v>
      </c>
      <c r="Q98" s="6">
        <f>Q95*((Q43*(COS(Q37)^2)*Q93/Q39)-2*(Q39)*((1/(COS(Q37)^2))-COS(Q37)*SIN(Q37)*Q93))/((COS(Q37)^2)*Q93)</f>
        <v>0.017768987387250326</v>
      </c>
      <c r="R98" s="6">
        <f>R95*((R43*(COS(R37)^2)*R93/R39)-2*(R39)*((1/(COS(R37)^2))-COS(R37)*SIN(R37)*R93))/((COS(R37)^2)*R93)</f>
        <v>0.09481639974558899</v>
      </c>
      <c r="S98" s="6">
        <f>S95*((S43*(COS(S37)^2)*S93/S39)-2*(S39)*((1/(COS(S37)^2))-COS(S37)*SIN(S37)*S93))/((COS(S37)^2)*S93)</f>
        <v>0.15819243214640608</v>
      </c>
      <c r="T98" s="6">
        <f>T95*((T43*(COS(T37)^2)*T93/T39)-2*(T39)*((1/(COS(T37)^2))-COS(T37)*SIN(T37)*T93))/((COS(T37)^2)*T93)</f>
        <v>0.20360012353345044</v>
      </c>
      <c r="U98" s="6">
        <f>U95*((U43*(COS(U37)^2)*U93/U39)-2*(U39)*((1/(COS(U37)^2))-COS(U37)*SIN(U37)*U93))/((COS(U37)^2)*U93)</f>
        <v>0.21144208050148255</v>
      </c>
      <c r="V98" s="6">
        <f>V95*((V43*(COS(V37)^2)*V93/V39)-2*(V39)*((1/(COS(V37)^2))-COS(V37)*SIN(V37)*V93))/((COS(V37)^2)*V93)</f>
        <v>0.12795916420563982</v>
      </c>
      <c r="W98" s="6">
        <f>W95*((W43*(COS(W37)^2)*W93/W39)-2*(W39)*((1/(COS(W37)^2))-COS(W37)*SIN(W37)*W93))/((COS(W37)^2)*W93)</f>
        <v>-0.19770795431627436</v>
      </c>
      <c r="X98" s="6">
        <f>X95*((X43*(COS(X37)^2)*X93/X39)-2*(X39)*((1/(COS(X37)^2))-COS(X37)*SIN(X37)*X93))/((COS(X37)^2)*X93)</f>
        <v>-1.2660766427690577</v>
      </c>
      <c r="Y98" s="6">
        <f>Y95*((Y43*(COS(Y37)^2)*Y93/Y39)-2*(Y39)*((1/(COS(Y37)^2))-COS(Y37)*SIN(Y37)*Y93))/((COS(Y37)^2)*Y93)</f>
        <v>-5.269764682402885</v>
      </c>
      <c r="Z98" s="6">
        <f>Z95*((Z43*(COS(Z37)^2)*Z93/Z39)-2*(Z39)*((1/(COS(Z37)^2))-COS(Z37)*SIN(Z37)*Z93))/((COS(Z37)^2)*Z93)</f>
        <v>-27.716015287706885</v>
      </c>
    </row>
    <row r="99" spans="1:26" s="110" customFormat="1" ht="12.75">
      <c r="A99" s="59" t="s">
        <v>301</v>
      </c>
      <c r="B99" s="6"/>
      <c r="C99" s="6"/>
      <c r="D99" s="6"/>
      <c r="E99" s="6" t="s">
        <v>302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111" customFormat="1" ht="12.75">
      <c r="A100" s="3" t="s">
        <v>287</v>
      </c>
      <c r="B100" s="7">
        <f>-B39*(B91-$D$4)</f>
        <v>2.9790872258006624</v>
      </c>
      <c r="C100" s="7">
        <f>-C39*(C91-$D$4)</f>
        <v>2.3600815938313464</v>
      </c>
      <c r="D100" s="7">
        <f>-D39*(D91-$D$4)</f>
        <v>1.3131214663110253</v>
      </c>
      <c r="E100" s="7">
        <f>-E39*(E91-$D$4)</f>
        <v>0.294635883399914</v>
      </c>
      <c r="F100" s="7">
        <f>-F39*(F91-$D$4)</f>
        <v>-0.4840623906808251</v>
      </c>
      <c r="G100" s="7">
        <f>-G39*(G91-$D$4)</f>
        <v>-1.0104838356657906</v>
      </c>
      <c r="H100" s="7">
        <f>-H39*(H91-$D$4)</f>
        <v>-1.3359907724111224</v>
      </c>
      <c r="I100" s="7">
        <f>-I39*(I91-$D$4)</f>
        <v>-1.5136865848166812</v>
      </c>
      <c r="J100" s="7">
        <f>-J39*(J91-$D$4)</f>
        <v>-1.5838808448349935</v>
      </c>
      <c r="K100" s="7">
        <f>-K39*(K91-$D$4)</f>
        <v>-1.5749878858334654</v>
      </c>
      <c r="L100" s="7">
        <f>-L39*(L91-$D$4)</f>
        <v>-1.5071898696890673</v>
      </c>
      <c r="M100" s="7">
        <f>-M39*(M91-$D$4)</f>
        <v>-1.3954260734571955</v>
      </c>
      <c r="N100" s="7">
        <f>-N39*(N91-$D$4)</f>
        <v>-1.251130041229916</v>
      </c>
      <c r="O100" s="7">
        <f>-O39*(O91-$D$4)</f>
        <v>-1.0828611455197985</v>
      </c>
      <c r="P100" s="7">
        <f>-P39*(P91-$D$4)</f>
        <v>-0.8961390912059761</v>
      </c>
      <c r="Q100" s="7">
        <f>-Q39*(Q91-$D$4)</f>
        <v>-0.692783507227367</v>
      </c>
      <c r="R100" s="7">
        <f>-R39*(R91-$D$4)</f>
        <v>-0.4699391329798069</v>
      </c>
      <c r="S100" s="7">
        <f>-S39*(S91-$D$4)</f>
        <v>-0.21877609552806773</v>
      </c>
      <c r="T100" s="7">
        <f>-T39*(T91-$D$4)</f>
        <v>0.0772432198089516</v>
      </c>
      <c r="U100" s="7">
        <f>-U39*(U91-$D$4)</f>
        <v>0.4442045143416166</v>
      </c>
      <c r="V100" s="7">
        <f>-V39*(V91-$D$4)</f>
        <v>0.9170628049804428</v>
      </c>
      <c r="W100" s="7">
        <f>-W39*(W91-$D$4)</f>
        <v>1.526034549820967</v>
      </c>
      <c r="X100" s="7">
        <f>-X39*(X91-$D$4)</f>
        <v>2.242618462128823</v>
      </c>
      <c r="Y100" s="7">
        <f>-Y39*(Y91-$D$4)</f>
        <v>2.863247573498122</v>
      </c>
      <c r="Z100" s="7">
        <f>-Z39*(Z91-$D$4)</f>
        <v>2.9790872258006633</v>
      </c>
    </row>
    <row r="101" spans="1:26" s="111" customFormat="1" ht="12.75">
      <c r="A101" s="3" t="s">
        <v>288</v>
      </c>
      <c r="B101" s="7">
        <f>B39*(B90-$D$3)</f>
        <v>0.7040656184423953</v>
      </c>
      <c r="C101" s="7">
        <f>C39*(C90-$D$3)</f>
        <v>0.181993549776891</v>
      </c>
      <c r="D101" s="7">
        <f>D39*(D90-$D$3)</f>
        <v>-0.03571203470620586</v>
      </c>
      <c r="E101" s="7">
        <f>E39*(E90-$D$3)</f>
        <v>-0.021034511452596057</v>
      </c>
      <c r="F101" s="7">
        <f>F39*(F90-$D$3)</f>
        <v>0.0313816900072775</v>
      </c>
      <c r="G101" s="7">
        <f>G39*(G90-$D$3)</f>
        <v>0.022098832814841474</v>
      </c>
      <c r="H101" s="7">
        <f>H39*(H90-$D$3)</f>
        <v>-0.06000804701130613</v>
      </c>
      <c r="I101" s="7">
        <f>I39*(I90-$D$3)</f>
        <v>-0.19186782186278567</v>
      </c>
      <c r="J101" s="7">
        <f>J39*(J90-$D$3)</f>
        <v>-0.3455378216011871</v>
      </c>
      <c r="K101" s="7">
        <f>K39*(K90-$D$3)</f>
        <v>-0.4973554973407615</v>
      </c>
      <c r="L101" s="7">
        <f>L39*(L90-$D$3)</f>
        <v>-0.6291143518053904</v>
      </c>
      <c r="M101" s="7">
        <f>M39*(M90-$D$3)</f>
        <v>-0.7272552322203426</v>
      </c>
      <c r="N101" s="7">
        <f>N39*(N90-$D$3)</f>
        <v>-0.7819584505849625</v>
      </c>
      <c r="O101" s="7">
        <f>O39*(O90-$D$3)</f>
        <v>-0.7863822452980677</v>
      </c>
      <c r="P101" s="7">
        <f>P39*(P90-$D$3)</f>
        <v>-0.73586049058588</v>
      </c>
      <c r="Q101" s="7">
        <f>Q39*(Q90-$D$3)</f>
        <v>-0.6269610601074579</v>
      </c>
      <c r="R101" s="7">
        <f>R39*(R90-$D$3)</f>
        <v>-0.4565995999399978</v>
      </c>
      <c r="S101" s="7">
        <f>S39*(S90-$D$3)</f>
        <v>-0.22177050977099422</v>
      </c>
      <c r="T101" s="7">
        <f>T39*(T90-$D$3)</f>
        <v>0.07902634664804176</v>
      </c>
      <c r="U101" s="7">
        <f>U39*(U90-$D$3)</f>
        <v>0.44059787332789097</v>
      </c>
      <c r="V101" s="7">
        <f>V39*(V90-$D$3)</f>
        <v>0.8382859774627208</v>
      </c>
      <c r="W101" s="7">
        <f>W39*(W90-$D$3)</f>
        <v>1.2029792414129141</v>
      </c>
      <c r="X101" s="7">
        <f>X39*(X90-$D$3)</f>
        <v>1.3920276938640919</v>
      </c>
      <c r="Y101" s="7">
        <f>Y39*(Y90-$D$3)</f>
        <v>1.2249608514177754</v>
      </c>
      <c r="Z101" s="7">
        <f>Z39*(Z90-$D$3)</f>
        <v>0.7040656184423956</v>
      </c>
    </row>
    <row r="102" spans="1:26" s="111" customFormat="1" ht="12.75">
      <c r="A102" s="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108" customFormat="1" ht="12.75">
      <c r="A103" s="20"/>
      <c r="B103" s="102" t="s">
        <v>105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s="108" customFormat="1" ht="12.75">
      <c r="A104" t="s">
        <v>90</v>
      </c>
      <c r="B104" s="5">
        <f>B90+($H$5-$F$9)*COS(B37-$B$37)-($H$6-$F$10)*SIN(B37-$B$37)</f>
        <v>5.087242089580179</v>
      </c>
      <c r="C104" s="5">
        <f>C90+($H$5-$F$9)*COS(C37-$B$37)-($H$6-$F$10)*SIN(C37-$B$37)</f>
        <v>6.092067862883274</v>
      </c>
      <c r="D104" s="5">
        <f>D90+($H$5-$F$9)*COS(D37-$B$37)-($H$6-$F$10)*SIN(D37-$B$37)</f>
        <v>6.781844062514229</v>
      </c>
      <c r="E104" s="5">
        <f>E90+($H$5-$F$9)*COS(E37-$B$37)-($H$6-$F$10)*SIN(E37-$B$37)</f>
        <v>7.0799061314826774</v>
      </c>
      <c r="F104" s="5">
        <f>F90+($H$5-$F$9)*COS(F37-$B$37)-($H$6-$F$10)*SIN(F37-$B$37)</f>
        <v>7.035468707619932</v>
      </c>
      <c r="G104" s="5">
        <f>G90+($H$5-$F$9)*COS(G37-$B$37)-($H$6-$F$10)*SIN(G37-$B$37)</f>
        <v>6.746127435243764</v>
      </c>
      <c r="H104" s="5">
        <f>H90+($H$5-$F$9)*COS(H37-$B$37)-($H$6-$F$10)*SIN(H37-$B$37)</f>
        <v>6.302666388202941</v>
      </c>
      <c r="I104" s="5">
        <f>I90+($H$5-$F$9)*COS(I37-$B$37)-($H$6-$F$10)*SIN(I37-$B$37)</f>
        <v>5.771939634089751</v>
      </c>
      <c r="J104" s="5">
        <f>J90+($H$5-$F$9)*COS(J37-$B$37)-($H$6-$F$10)*SIN(J37-$B$37)</f>
        <v>5.198597209707975</v>
      </c>
      <c r="K104" s="5">
        <f>K90+($H$5-$F$9)*COS(K37-$B$37)-($H$6-$F$10)*SIN(K37-$B$37)</f>
        <v>4.611440814982962</v>
      </c>
      <c r="L104" s="5">
        <f>L90+($H$5-$F$9)*COS(L37-$B$37)-($H$6-$F$10)*SIN(L37-$B$37)</f>
        <v>4.029214128601724</v>
      </c>
      <c r="M104" s="5">
        <f>M90+($H$5-$F$9)*COS(M37-$B$37)-($H$6-$F$10)*SIN(M37-$B$37)</f>
        <v>3.4649344495494407</v>
      </c>
      <c r="N104" s="5">
        <f>N90+($H$5-$F$9)*COS(N37-$B$37)-($H$6-$F$10)*SIN(N37-$B$37)</f>
        <v>2.9290824997603124</v>
      </c>
      <c r="O104" s="5">
        <f>O90+($H$5-$F$9)*COS(O37-$B$37)-($H$6-$F$10)*SIN(O37-$B$37)</f>
        <v>2.432048008196874</v>
      </c>
      <c r="P104" s="5">
        <f>P90+($H$5-$F$9)*COS(P37-$B$37)-($H$6-$F$10)*SIN(P37-$B$37)</f>
        <v>1.986061705205067</v>
      </c>
      <c r="Q104" s="5">
        <f>Q90+($H$5-$F$9)*COS(Q37-$B$37)-($H$6-$F$10)*SIN(Q37-$B$37)</f>
        <v>1.6066993272684087</v>
      </c>
      <c r="R104" s="5">
        <f>R90+($H$5-$F$9)*COS(R37-$B$37)-($H$6-$F$10)*SIN(R37-$B$37)</f>
        <v>1.3139479478022038</v>
      </c>
      <c r="S104" s="5">
        <f>S90+($H$5-$F$9)*COS(S37-$B$37)-($H$6-$F$10)*SIN(S37-$B$37)</f>
        <v>1.1327280372107151</v>
      </c>
      <c r="T104" s="5">
        <f>T90+($H$5-$F$9)*COS(T37-$B$37)-($H$6-$F$10)*SIN(T37-$B$37)</f>
        <v>1.0926162760260563</v>
      </c>
      <c r="U104" s="5">
        <f>U90+($H$5-$F$9)*COS(U37-$B$37)-($H$6-$F$10)*SIN(U37-$B$37)</f>
        <v>1.2263159430631738</v>
      </c>
      <c r="V104" s="5">
        <f>V90+($H$5-$F$9)*COS(V37-$B$37)-($H$6-$F$10)*SIN(V37-$B$37)</f>
        <v>1.566232383708602</v>
      </c>
      <c r="W104" s="5">
        <f>W90+($H$5-$F$9)*COS(W37-$B$37)-($H$6-$F$10)*SIN(W37-$B$37)</f>
        <v>2.138266131725957</v>
      </c>
      <c r="X104" s="5">
        <f>X90+($H$5-$F$9)*COS(X37-$B$37)-($H$6-$F$10)*SIN(X37-$B$37)</f>
        <v>2.950665184714213</v>
      </c>
      <c r="Y104" s="5">
        <f>Y90+($H$5-$F$9)*COS(Y37-$B$37)-($H$6-$F$10)*SIN(Y37-$B$37)</f>
        <v>3.971226094836411</v>
      </c>
      <c r="Z104" s="5">
        <f>Z90+($H$5-$F$9)*COS(Z37-$B$37)-($H$6-$F$10)*SIN(Z37-$B$37)</f>
        <v>5.087242089580179</v>
      </c>
    </row>
    <row r="105" spans="1:26" s="108" customFormat="1" ht="12.75">
      <c r="A105" t="s">
        <v>91</v>
      </c>
      <c r="B105" s="5">
        <f>B91+($H$5-$F$9)*SIN(B37-$B$37)+($H$6-$F$10)*COS(B37-$B$37)</f>
        <v>6.284315003843979</v>
      </c>
      <c r="C105" s="5">
        <f>C91+($H$5-$F$9)*SIN(C37-$B$37)+($H$6-$F$10)*COS(C37-$B$37)</f>
        <v>6.548334451149431</v>
      </c>
      <c r="D105" s="5">
        <f>D91+($H$5-$F$9)*SIN(D37-$B$37)+($H$6-$F$10)*COS(D37-$B$37)</f>
        <v>6.699950637793076</v>
      </c>
      <c r="E105" s="5">
        <f>E91+($H$5-$F$9)*SIN(E37-$B$37)+($H$6-$F$10)*COS(E37-$B$37)</f>
        <v>6.757820650494866</v>
      </c>
      <c r="F105" s="5">
        <f>F91+($H$5-$F$9)*SIN(F37-$B$37)+($H$6-$F$10)*COS(F37-$B$37)</f>
        <v>6.749483284339402</v>
      </c>
      <c r="G105" s="5">
        <f>G91+($H$5-$F$9)*SIN(G37-$B$37)+($H$6-$F$10)*COS(G37-$B$37)</f>
        <v>6.692707684813659</v>
      </c>
      <c r="H105" s="5">
        <f>H91+($H$5-$F$9)*SIN(H37-$B$37)+($H$6-$F$10)*COS(H37-$B$37)</f>
        <v>6.597247941539502</v>
      </c>
      <c r="I105" s="5">
        <f>I91+($H$5-$F$9)*SIN(I37-$B$37)+($H$6-$F$10)*COS(I37-$B$37)</f>
        <v>6.469621521069319</v>
      </c>
      <c r="J105" s="5">
        <f>J91+($H$5-$F$9)*SIN(J37-$B$37)+($H$6-$F$10)*COS(J37-$B$37)</f>
        <v>6.315957058974807</v>
      </c>
      <c r="K105" s="5">
        <f>K91+($H$5-$F$9)*SIN(K37-$B$37)+($H$6-$F$10)*COS(K37-$B$37)</f>
        <v>6.143078827556892</v>
      </c>
      <c r="L105" s="5">
        <f>L91+($H$5-$F$9)*SIN(L37-$B$37)+($H$6-$F$10)*COS(L37-$B$37)</f>
        <v>5.958587193673312</v>
      </c>
      <c r="M105" s="5">
        <f>M91+($H$5-$F$9)*SIN(M37-$B$37)+($H$6-$F$10)*COS(M37-$B$37)</f>
        <v>5.770478894088095</v>
      </c>
      <c r="N105" s="5">
        <f>N91+($H$5-$F$9)*SIN(N37-$B$37)+($H$6-$F$10)*COS(N37-$B$37)</f>
        <v>5.586654762024679</v>
      </c>
      <c r="O105" s="5">
        <f>O91+($H$5-$F$9)*SIN(O37-$B$37)+($H$6-$F$10)*COS(O37-$B$37)</f>
        <v>5.414539114341254</v>
      </c>
      <c r="P105" s="5">
        <f>P91+($H$5-$F$9)*SIN(P37-$B$37)+($H$6-$F$10)*COS(P37-$B$37)</f>
        <v>5.260942430775701</v>
      </c>
      <c r="Q105" s="5">
        <f>Q91+($H$5-$F$9)*SIN(Q37-$B$37)+($H$6-$F$10)*COS(Q37-$B$37)</f>
        <v>5.132215971264325</v>
      </c>
      <c r="R105" s="5">
        <f>R91+($H$5-$F$9)*SIN(R37-$B$37)+($H$6-$F$10)*COS(R37-$B$37)</f>
        <v>5.034678378084372</v>
      </c>
      <c r="S105" s="5">
        <f>S91+($H$5-$F$9)*SIN(S37-$B$37)+($H$6-$F$10)*COS(S37-$B$37)</f>
        <v>4.9752504153701675</v>
      </c>
      <c r="T105" s="5">
        <f>T91+($H$5-$F$9)*SIN(T37-$B$37)+($H$6-$F$10)*COS(T37-$B$37)</f>
        <v>4.962203423599929</v>
      </c>
      <c r="U105" s="5">
        <f>U91+($H$5-$F$9)*SIN(U37-$B$37)+($H$6-$F$10)*COS(U37-$B$37)</f>
        <v>5.005844100812425</v>
      </c>
      <c r="V105" s="5">
        <f>V91+($H$5-$F$9)*SIN(V37-$B$37)+($H$6-$F$10)*COS(V37-$B$37)</f>
        <v>5.118629719713853</v>
      </c>
      <c r="W105" s="5">
        <f>W91+($H$5-$F$9)*SIN(W37-$B$37)+($H$6-$F$10)*COS(W37-$B$37)</f>
        <v>5.313156225731585</v>
      </c>
      <c r="X105" s="5">
        <f>X91+($H$5-$F$9)*SIN(X37-$B$37)+($H$6-$F$10)*COS(X37-$B$37)</f>
        <v>5.594114036708154</v>
      </c>
      <c r="Y105" s="5">
        <f>Y91+($H$5-$F$9)*SIN(Y37-$B$37)+($H$6-$F$10)*COS(Y37-$B$37)</f>
        <v>5.9396199885267675</v>
      </c>
      <c r="Z105" s="5">
        <f>Z91+($H$5-$F$9)*SIN(Z37-$B$37)+($H$6-$F$10)*COS(Z37-$B$37)</f>
        <v>6.284315003843979</v>
      </c>
    </row>
    <row r="106" spans="1:26" s="108" customFormat="1" ht="12.75">
      <c r="A106" t="s">
        <v>92</v>
      </c>
      <c r="B106" s="5">
        <f>B94-B39*(B105-B91)</f>
        <v>4.201141623962944</v>
      </c>
      <c r="C106" s="5">
        <f>C94-C39*(C105-C91)</f>
        <v>3.335230435904338</v>
      </c>
      <c r="D106" s="5">
        <f>D94-D39*(D105-D91)</f>
        <v>1.886600785826972</v>
      </c>
      <c r="E106" s="5">
        <f>E94-E39*(E105-E91)</f>
        <v>0.4277510789474446</v>
      </c>
      <c r="F106" s="5">
        <f>F94-F39*(F105-F91)</f>
        <v>-0.7015839213919085</v>
      </c>
      <c r="G106" s="5">
        <f>G94-G39*(G105-G91)</f>
        <v>-1.4501643183548416</v>
      </c>
      <c r="H106" s="5">
        <f>H94-H39*(H105-H91)</f>
        <v>-1.8953038871965093</v>
      </c>
      <c r="I106" s="5">
        <f>I94-I39*(I105-I91)</f>
        <v>-2.1311676538866853</v>
      </c>
      <c r="J106" s="5">
        <f>J94-J39*(J105-J91)</f>
        <v>-2.2308824636210707</v>
      </c>
      <c r="K106" s="5">
        <f>K94-K39*(K105-K91)</f>
        <v>-2.243000890469508</v>
      </c>
      <c r="L106" s="5">
        <f>L94-L39*(L105-L91)</f>
        <v>-2.19679551387644</v>
      </c>
      <c r="M106" s="5">
        <f>M94-M39*(M105-M91)</f>
        <v>-2.1074651434584024</v>
      </c>
      <c r="N106" s="5">
        <f>N94-N39*(N105-N91)</f>
        <v>-1.9796502153447886</v>
      </c>
      <c r="O106" s="5">
        <f>O94-O39*(O105-O91)</f>
        <v>-1.8097231103649913</v>
      </c>
      <c r="P106" s="5">
        <f>P94-P39*(P105-P91)</f>
        <v>-1.5875142125495265</v>
      </c>
      <c r="Q106" s="5">
        <f>Q94-Q39*(Q105-Q91)</f>
        <v>-1.297912166487011</v>
      </c>
      <c r="R106" s="5">
        <f>R94-R39*(R105-R91)</f>
        <v>-0.9226652611262999</v>
      </c>
      <c r="S106" s="5">
        <f>S94-S39*(S105-S91)</f>
        <v>-0.44283234461062865</v>
      </c>
      <c r="T106" s="5">
        <f>T94-T39*(T105-T91)</f>
        <v>0.1574314193973644</v>
      </c>
      <c r="U106" s="5">
        <f>U94-U39*(U105-U91)</f>
        <v>0.8849698191913744</v>
      </c>
      <c r="V106" s="5">
        <f>V94-V39*(V105-V91)</f>
        <v>1.7289440170713355</v>
      </c>
      <c r="W106" s="5">
        <f>W94-W39*(W105-W91)</f>
        <v>2.6476482712645795</v>
      </c>
      <c r="X106" s="5">
        <f>X94-X39*(X105-X91)</f>
        <v>3.5409410245785393</v>
      </c>
      <c r="Y106" s="5">
        <f>Y94-Y39*(Y105-Y91)</f>
        <v>4.186002652033315</v>
      </c>
      <c r="Z106" s="5">
        <f>Z94-Z39*(Z105-Z91)</f>
        <v>4.201141623962946</v>
      </c>
    </row>
    <row r="107" spans="1:26" s="108" customFormat="1" ht="12.75">
      <c r="A107" t="s">
        <v>93</v>
      </c>
      <c r="B107" s="5">
        <f>B95+B39*(B104-B90)</f>
        <v>1.2043088267104007</v>
      </c>
      <c r="C107" s="5">
        <f>C95+C39*(C104-C90)</f>
        <v>0.7927821834360778</v>
      </c>
      <c r="D107" s="5">
        <f>D95+D39*(D104-D90)</f>
        <v>0.380832978799951</v>
      </c>
      <c r="E107" s="5">
        <f>E95+E39*(E104-E90)</f>
        <v>0.0797676948058669</v>
      </c>
      <c r="F107" s="5">
        <f>F95+F39*(F104-F90)</f>
        <v>-0.13243110804883965</v>
      </c>
      <c r="G107" s="5">
        <f>G95+G39*(G104-G90)</f>
        <v>-0.29542326253297524</v>
      </c>
      <c r="H107" s="5">
        <f>H95+H39*(H104-H90)</f>
        <v>-0.4298609178980318</v>
      </c>
      <c r="I107" s="5">
        <f>I95+I39*(I104-I90)</f>
        <v>-0.5412931260315095</v>
      </c>
      <c r="J107" s="5">
        <f>J95+J39*(J104-J90)</f>
        <v>-0.6282727543651945</v>
      </c>
      <c r="K107" s="5">
        <f>K95+K39*(K104-K90)</f>
        <v>-0.6875538881992244</v>
      </c>
      <c r="L107" s="5">
        <f>L95+L39*(L104-L90)</f>
        <v>-0.7167341542676761</v>
      </c>
      <c r="M107" s="5">
        <f>M95+M39*(M104-M90)</f>
        <v>-0.715252151973204</v>
      </c>
      <c r="N107" s="5">
        <f>N95+N39*(N104-N90)</f>
        <v>-0.6843251419245706</v>
      </c>
      <c r="O107" s="5">
        <f>O95+O39*(O104-O90)</f>
        <v>-0.6262159336903148</v>
      </c>
      <c r="P107" s="5">
        <f>P95+P39*(P104-P90)</f>
        <v>-0.5431607299594788</v>
      </c>
      <c r="Q107" s="5">
        <f>Q95+Q39*(Q104-Q90)</f>
        <v>-0.4362556267914237</v>
      </c>
      <c r="R107" s="5">
        <f>R95+R39*(R104-R90)</f>
        <v>-0.3045197677950078</v>
      </c>
      <c r="S107" s="5">
        <f>S95+S39*(S104-S90)</f>
        <v>-0.14425795788712784</v>
      </c>
      <c r="T107" s="5">
        <f>T95+T39*(T104-T90)</f>
        <v>0.051128574157213266</v>
      </c>
      <c r="U107" s="5">
        <f>U95+U39*(U104-U90)</f>
        <v>0.2902862276343039</v>
      </c>
      <c r="V107" s="5">
        <f>V95+V39*(V104-V90)</f>
        <v>0.5797998866339612</v>
      </c>
      <c r="W107" s="5">
        <f>W95+W39*(W104-W90)</f>
        <v>0.9104908838291803</v>
      </c>
      <c r="X107" s="5">
        <f>X95+X39*(X104-X90)</f>
        <v>1.2235586723524146</v>
      </c>
      <c r="Y107" s="5">
        <f>Y95+Y39*(Y104-Y90)</f>
        <v>1.3726006057669593</v>
      </c>
      <c r="Z107" s="5">
        <f>Z95+Z39*(Z104-Z90)</f>
        <v>1.2043088267104012</v>
      </c>
    </row>
    <row r="108" spans="1:26" s="108" customFormat="1" ht="12.75">
      <c r="A108" t="s">
        <v>94</v>
      </c>
      <c r="B108" s="5">
        <f aca="true" t="shared" si="41" ref="B108:Z108">B96-B43*(B105-B91)-B39*(B107-B94)</f>
        <v>-3.451038159558275</v>
      </c>
      <c r="C108" s="5">
        <f t="shared" si="41"/>
        <v>-5.878193859716543</v>
      </c>
      <c r="D108" s="5">
        <f t="shared" si="41"/>
        <v>-6.2181546695352985</v>
      </c>
      <c r="E108" s="5">
        <f t="shared" si="41"/>
        <v>-5.066355916398578</v>
      </c>
      <c r="F108" s="5">
        <f t="shared" si="41"/>
        <v>-3.604181994989473</v>
      </c>
      <c r="G108" s="5">
        <f t="shared" si="41"/>
        <v>-2.4167372940731533</v>
      </c>
      <c r="H108" s="5">
        <f t="shared" si="41"/>
        <v>-1.5957686195416847</v>
      </c>
      <c r="I108" s="5">
        <f t="shared" si="41"/>
        <v>-1.0583363463826858</v>
      </c>
      <c r="J108" s="5">
        <f t="shared" si="41"/>
        <v>-0.7039399922271639</v>
      </c>
      <c r="K108" s="5">
        <f t="shared" si="41"/>
        <v>-0.4552037731483931</v>
      </c>
      <c r="L108" s="5">
        <f t="shared" si="41"/>
        <v>-0.25723869963500046</v>
      </c>
      <c r="M108" s="5">
        <f t="shared" si="41"/>
        <v>-0.06982067945097342</v>
      </c>
      <c r="N108" s="5">
        <f t="shared" si="41"/>
        <v>0.13801525810396126</v>
      </c>
      <c r="O108" s="5">
        <f t="shared" si="41"/>
        <v>0.3901424614769212</v>
      </c>
      <c r="P108" s="5">
        <f t="shared" si="41"/>
        <v>0.7034583389174819</v>
      </c>
      <c r="Q108" s="5">
        <f t="shared" si="41"/>
        <v>1.0866864949591635</v>
      </c>
      <c r="R108" s="5">
        <f t="shared" si="41"/>
        <v>1.5373862357668624</v>
      </c>
      <c r="S108" s="5">
        <f t="shared" si="41"/>
        <v>2.0357046103868393</v>
      </c>
      <c r="T108" s="5">
        <f t="shared" si="41"/>
        <v>2.533492018165769</v>
      </c>
      <c r="U108" s="5">
        <f t="shared" si="41"/>
        <v>2.939365366132158</v>
      </c>
      <c r="V108" s="5">
        <f t="shared" si="41"/>
        <v>3.104304007605223</v>
      </c>
      <c r="W108" s="5">
        <f t="shared" si="41"/>
        <v>2.813270122356874</v>
      </c>
      <c r="X108" s="5">
        <f t="shared" si="41"/>
        <v>1.7725191419021633</v>
      </c>
      <c r="Y108" s="5">
        <f t="shared" si="41"/>
        <v>-0.36697797796405895</v>
      </c>
      <c r="Z108" s="5">
        <f t="shared" si="41"/>
        <v>-3.451038159558276</v>
      </c>
    </row>
    <row r="109" spans="1:256" ht="12.75">
      <c r="A109" t="s">
        <v>95</v>
      </c>
      <c r="B109" s="5">
        <f>B97+B43*(B104-B90)+B39*(B106-B94)</f>
        <v>-1.2515599621035554</v>
      </c>
      <c r="C109" s="5">
        <f>C97+C43*(C104-C90)+C39*(C106-C94)</f>
        <v>-1.7092400808493515</v>
      </c>
      <c r="D109" s="5">
        <f>D97+D43*(D104-D90)+D39*(D106-D94)</f>
        <v>-1.3718093813136218</v>
      </c>
      <c r="E109" s="5">
        <f>E97+E43*(E104-E90)+E39*(E106-E94)</f>
        <v>-0.950967088931927</v>
      </c>
      <c r="F109" s="5">
        <f>F97+F43*(F104-F90)+F39*(F106-F94)</f>
        <v>-0.6969055433941712</v>
      </c>
      <c r="G109" s="5">
        <f>G97+G43*(G104-G90)+G39*(G106-G94)</f>
        <v>-0.560880167990318</v>
      </c>
      <c r="H109" s="5">
        <f>H97+H43*(H104-H90)+H39*(H106-H94)</f>
        <v>-0.4691343987547256</v>
      </c>
      <c r="I109" s="5">
        <f>I97+I43*(I104-I90)+I39*(I106-I94)</f>
        <v>-0.3809025186918569</v>
      </c>
      <c r="J109" s="5">
        <f>J97+J43*(J104-J90)+J39*(J106-J94)</f>
        <v>-0.2813469286949649</v>
      </c>
      <c r="K109" s="5">
        <f>K97+K43*(K104-K90)+K39*(K106-K94)</f>
        <v>-0.1699396548735699</v>
      </c>
      <c r="L109" s="5">
        <f>L97+L43*(L104-L90)+L39*(L106-L94)</f>
        <v>-0.05263103613421448</v>
      </c>
      <c r="M109" s="5">
        <f>M97+M43*(M104-M90)+M39*(M106-M94)</f>
        <v>0.06312809764896193</v>
      </c>
      <c r="N109" s="5">
        <f>N97+N43*(N104-N90)+N39*(N106-N94)</f>
        <v>0.17162524345710606</v>
      </c>
      <c r="O109" s="5">
        <f>O97+O43*(O104-O90)+O39*(O106-O94)</f>
        <v>0.2707998751204738</v>
      </c>
      <c r="P109" s="5">
        <f>P97+P43*(P104-P90)+P39*(P106-P94)</f>
        <v>0.36293673948940264</v>
      </c>
      <c r="Q109" s="5">
        <f>Q97+Q43*(Q104-Q90)+Q39*(Q106-Q94)</f>
        <v>0.4543411301592126</v>
      </c>
      <c r="R109" s="5">
        <f>R97+R43*(R104-R90)+R39*(R106-R94)</f>
        <v>0.5543831561346444</v>
      </c>
      <c r="S109" s="5">
        <f>S97+S43*(S104-S90)+S39*(S106-S94)</f>
        <v>0.6741661108427297</v>
      </c>
      <c r="T109" s="5">
        <f>T97+T43*(T104-T90)+T39*(T106-T94)</f>
        <v>0.8241911066835376</v>
      </c>
      <c r="U109" s="5">
        <f>U97+U43*(U104-U90)+U39*(U106-U94)</f>
        <v>1.007783077845998</v>
      </c>
      <c r="V109" s="5">
        <f>V97+V43*(V104-V90)+V39*(V106-V94)</f>
        <v>1.200219232002834</v>
      </c>
      <c r="W109" s="5">
        <f>W97+W43*(W104-W90)+W39*(W106-W94)</f>
        <v>1.2921818043513038</v>
      </c>
      <c r="X109" s="5">
        <f>X97+X43*(X104-X90)+X39*(X106-X94)</f>
        <v>1.0031176202226717</v>
      </c>
      <c r="Y109" s="5">
        <f>Y97+Y43*(Y104-Y90)+Y39*(Y106-Y94)</f>
        <v>0.016442985662799336</v>
      </c>
      <c r="Z109" s="5">
        <f>Z97+Z43*(Z104-Z90)+Z39*(Z106-Z94)</f>
        <v>-1.2515599621035562</v>
      </c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  <c r="IP109" s="108"/>
      <c r="IQ109" s="108"/>
      <c r="IR109" s="108"/>
      <c r="IS109" s="108"/>
      <c r="IT109" s="108"/>
      <c r="IU109" s="108"/>
      <c r="IV109" s="108"/>
    </row>
    <row r="110" spans="1:256" ht="12" customHeight="1">
      <c r="A110" t="s">
        <v>100</v>
      </c>
      <c r="B110" s="5">
        <f>((B104-B90)^2)+(B105-B91)^2</f>
        <v>4.999999999999998</v>
      </c>
      <c r="C110" s="5">
        <f>((C104-C90)^2)+(C105-C91)^2</f>
        <v>5.000000000000001</v>
      </c>
      <c r="D110" s="5">
        <f>((D104-D90)^2)+(D105-D91)^2</f>
        <v>4.999999999999997</v>
      </c>
      <c r="E110" s="5">
        <f>((E104-E90)^2)+(E105-E91)^2</f>
        <v>4.999999999999998</v>
      </c>
      <c r="F110" s="5">
        <f>((F104-F90)^2)+(F105-F91)^2</f>
        <v>4.999999999999997</v>
      </c>
      <c r="G110" s="5">
        <f>((G104-G90)^2)+(G105-G91)^2</f>
        <v>5.000000000000001</v>
      </c>
      <c r="H110" s="5">
        <f>((H104-H90)^2)+(H105-H91)^2</f>
        <v>5</v>
      </c>
      <c r="I110" s="5">
        <f>((I104-I90)^2)+(I105-I91)^2</f>
        <v>4.999999999999998</v>
      </c>
      <c r="J110" s="5">
        <f>((J104-J90)^2)+(J105-J91)^2</f>
        <v>4.9999999999999964</v>
      </c>
      <c r="K110" s="5">
        <f>((K104-K90)^2)+(K105-K91)^2</f>
        <v>4.9999999999999964</v>
      </c>
      <c r="L110" s="5">
        <f>((L104-L90)^2)+(L105-L91)^2</f>
        <v>4.999999999999998</v>
      </c>
      <c r="M110" s="5">
        <f>((M104-M90)^2)+(M105-M91)^2</f>
        <v>4.999999999999998</v>
      </c>
      <c r="N110" s="5">
        <f>((N104-N90)^2)+(N105-N91)^2</f>
        <v>4.999999999999998</v>
      </c>
      <c r="O110" s="5">
        <f>((O104-O90)^2)+(O105-O91)^2</f>
        <v>5</v>
      </c>
      <c r="P110" s="5">
        <f>((P104-P90)^2)+(P105-P91)^2</f>
        <v>5</v>
      </c>
      <c r="Q110" s="5">
        <f>((Q104-Q90)^2)+(Q105-Q91)^2</f>
        <v>4.999999999999998</v>
      </c>
      <c r="R110" s="5">
        <f>((R104-R90)^2)+(R105-R91)^2</f>
        <v>5</v>
      </c>
      <c r="S110" s="5">
        <f>((S104-S90)^2)+(S105-S91)^2</f>
        <v>4.999999999999999</v>
      </c>
      <c r="T110" s="5">
        <f>((T104-T90)^2)+(T105-T91)^2</f>
        <v>4.999999999999998</v>
      </c>
      <c r="U110" s="5">
        <f>((U104-U90)^2)+(U105-U91)^2</f>
        <v>4.999999999999998</v>
      </c>
      <c r="V110" s="5">
        <f>((V104-V90)^2)+(V105-V91)^2</f>
        <v>4.999999999999998</v>
      </c>
      <c r="W110" s="5">
        <f>((W104-W90)^2)+(W105-W91)^2</f>
        <v>4.999999999999997</v>
      </c>
      <c r="X110" s="5">
        <f>((X104-X90)^2)+(X105-X91)^2</f>
        <v>4.999999999999998</v>
      </c>
      <c r="Y110" s="5">
        <f>((Y104-Y90)^2)+(Y105-Y91)^2</f>
        <v>4.999999999999997</v>
      </c>
      <c r="Z110" s="5">
        <f>((Z104-Z90)^2)+(Z105-Z91)^2</f>
        <v>4.999999999999998</v>
      </c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  <c r="II110" s="108"/>
      <c r="IJ110" s="108"/>
      <c r="IK110" s="108"/>
      <c r="IL110" s="108"/>
      <c r="IM110" s="108"/>
      <c r="IN110" s="108"/>
      <c r="IO110" s="108"/>
      <c r="IP110" s="108"/>
      <c r="IQ110" s="108"/>
      <c r="IR110" s="108"/>
      <c r="IS110" s="108"/>
      <c r="IT110" s="108"/>
      <c r="IU110" s="108"/>
      <c r="IV110" s="108"/>
    </row>
    <row r="111" spans="2:256" ht="12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  <c r="IO111" s="108"/>
      <c r="IP111" s="108"/>
      <c r="IQ111" s="108"/>
      <c r="IR111" s="108"/>
      <c r="IS111" s="108"/>
      <c r="IT111" s="108"/>
      <c r="IU111" s="108"/>
      <c r="IV111" s="108"/>
    </row>
    <row r="112" spans="2:256" ht="12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</row>
    <row r="113" spans="1:256" ht="12" customHeight="1">
      <c r="A113" s="56"/>
      <c r="B113" s="57"/>
      <c r="C113" s="57"/>
      <c r="D113" s="57"/>
      <c r="E113" s="57"/>
      <c r="F113" s="57"/>
      <c r="G113" s="94" t="s">
        <v>282</v>
      </c>
      <c r="H113" s="94"/>
      <c r="I113" s="94"/>
      <c r="J113" s="94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  <c r="IO113" s="108"/>
      <c r="IP113" s="108"/>
      <c r="IQ113" s="108"/>
      <c r="IR113" s="108"/>
      <c r="IS113" s="108"/>
      <c r="IT113" s="108"/>
      <c r="IU113" s="108"/>
      <c r="IV113" s="108"/>
    </row>
    <row r="114" spans="2:256" ht="12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  <c r="II114" s="108"/>
      <c r="IJ114" s="108"/>
      <c r="IK114" s="108"/>
      <c r="IL114" s="108"/>
      <c r="IM114" s="108"/>
      <c r="IN114" s="108"/>
      <c r="IO114" s="108"/>
      <c r="IP114" s="108"/>
      <c r="IQ114" s="108"/>
      <c r="IR114" s="108"/>
      <c r="IS114" s="108"/>
      <c r="IT114" s="108"/>
      <c r="IU114" s="108"/>
      <c r="IV114" s="108"/>
    </row>
    <row r="115" spans="1:256" ht="12" customHeight="1">
      <c r="A115" s="95" t="s">
        <v>281</v>
      </c>
      <c r="B115" s="95"/>
      <c r="C115" s="95"/>
      <c r="D115" s="95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  <c r="IO115" s="108"/>
      <c r="IP115" s="108"/>
      <c r="IQ115" s="108"/>
      <c r="IR115" s="108"/>
      <c r="IS115" s="108"/>
      <c r="IT115" s="108"/>
      <c r="IU115" s="108"/>
      <c r="IV115" s="108"/>
    </row>
    <row r="116" spans="1:256" ht="12" customHeight="1">
      <c r="A116" t="s">
        <v>283</v>
      </c>
      <c r="B116" s="5">
        <f>(B27+B38*B25)/B38</f>
        <v>-4.599999999999999</v>
      </c>
      <c r="C116" s="5">
        <f>(C27+C38*C25)/C38</f>
        <v>-3.7719099328473185</v>
      </c>
      <c r="D116" s="5">
        <f>(D27+D38*D25)/D38</f>
        <v>-3.623161006596302</v>
      </c>
      <c r="E116" s="5">
        <f>(E27+E38*E25)/E38</f>
        <v>-3.9416483678000414</v>
      </c>
      <c r="F116" s="5">
        <f>(F27+F38*F25)/F38</f>
        <v>-4.463264650691192</v>
      </c>
      <c r="G116" s="5">
        <f>(G27+G38*G25)/G38</f>
        <v>-4.601191552234787</v>
      </c>
      <c r="H116" s="5">
        <f>(H27+H38*H25)/H38</f>
        <v>2.99999999999999</v>
      </c>
      <c r="I116" s="5">
        <f>(I27+I38*I25)/I38</f>
        <v>-12.301499671851317</v>
      </c>
      <c r="J116" s="5">
        <f>(J27+J38*J25)/J38</f>
        <v>-11.117871437122174</v>
      </c>
      <c r="K116" s="5">
        <f>(K27+K38*K25)/K38</f>
        <v>-11.107598528174139</v>
      </c>
      <c r="L116" s="5">
        <f>(L27+L38*L25)/L38</f>
        <v>-11.111133992146028</v>
      </c>
      <c r="M116" s="5">
        <f>(M27+M38*M25)/M38</f>
        <v>-10.954906617637413</v>
      </c>
      <c r="N116" s="5">
        <f>(N27+N38*N25)/N38</f>
        <v>-10.599999999999998</v>
      </c>
      <c r="O116" s="5">
        <f>(O27+O38*O25)/O38</f>
        <v>-10.036267064047223</v>
      </c>
      <c r="P116" s="5">
        <f>(P27+P38*P25)/P38</f>
        <v>-9.253804591935921</v>
      </c>
      <c r="Q116" s="5">
        <f>(Q27+Q38*Q25)/Q38</f>
        <v>-8.232166225050292</v>
      </c>
      <c r="R116" s="5">
        <f>(R27+R38*R25)/R38</f>
        <v>-6.93084722714519</v>
      </c>
      <c r="S116" s="5">
        <f>(S27+S38*S25)/S38</f>
        <v>-5.26315172415776</v>
      </c>
      <c r="T116" s="5">
        <f>(T27+T38*T25)/T38</f>
        <v>-3.000000000000002</v>
      </c>
      <c r="U116" s="5">
        <f>(U27+U38*U25)/U38</f>
        <v>0.6916722016563499</v>
      </c>
      <c r="V116" s="5">
        <f>(V27+V38*V25)/V38</f>
        <v>11.93201033808794</v>
      </c>
      <c r="W116" s="5">
        <f>(W27+W38*W25)/W38</f>
        <v>-35.90054791481723</v>
      </c>
      <c r="X116" s="5">
        <f>(X27+X38*X25)/X38</f>
        <v>-10.746759653690948</v>
      </c>
      <c r="Y116" s="5">
        <f>(Y27+Y38*Y25)/Y38</f>
        <v>-6.4627061970794095</v>
      </c>
      <c r="Z116" s="5">
        <f>(Z27+Z38*Z25)/Z38</f>
        <v>-4.6</v>
      </c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  <c r="HK116" s="108"/>
      <c r="HL116" s="108"/>
      <c r="HM116" s="108"/>
      <c r="HN116" s="108"/>
      <c r="HO116" s="108"/>
      <c r="HP116" s="108"/>
      <c r="HQ116" s="108"/>
      <c r="HR116" s="108"/>
      <c r="HS116" s="108"/>
      <c r="HT116" s="108"/>
      <c r="HU116" s="108"/>
      <c r="HV116" s="108"/>
      <c r="HW116" s="108"/>
      <c r="HX116" s="108"/>
      <c r="HY116" s="108"/>
      <c r="HZ116" s="108"/>
      <c r="IA116" s="108"/>
      <c r="IB116" s="108"/>
      <c r="IC116" s="108"/>
      <c r="ID116" s="108"/>
      <c r="IE116" s="108"/>
      <c r="IF116" s="108"/>
      <c r="IG116" s="108"/>
      <c r="IH116" s="108"/>
      <c r="II116" s="108"/>
      <c r="IJ116" s="108"/>
      <c r="IK116" s="108"/>
      <c r="IL116" s="108"/>
      <c r="IM116" s="108"/>
      <c r="IN116" s="108"/>
      <c r="IO116" s="108"/>
      <c r="IP116" s="108"/>
      <c r="IQ116" s="108"/>
      <c r="IR116" s="108"/>
      <c r="IS116" s="108"/>
      <c r="IT116" s="108"/>
      <c r="IU116" s="108"/>
      <c r="IV116" s="108"/>
    </row>
    <row r="117" spans="1:256" ht="12" customHeight="1">
      <c r="A117" t="s">
        <v>285</v>
      </c>
      <c r="B117" s="5">
        <f>(B26+B38*B24)/B38</f>
        <v>3</v>
      </c>
      <c r="C117" s="5">
        <f>(C26+C38*C24)/C38</f>
        <v>4.1165087616596185</v>
      </c>
      <c r="D117" s="5">
        <f>(D26+D38*D24)/D38</f>
        <v>5.555934597613485</v>
      </c>
      <c r="E117" s="5">
        <f>(E26+E38*E24)/E38</f>
        <v>8.184289054919326</v>
      </c>
      <c r="F117" s="5">
        <f>(F26+F38*F24)/F38</f>
        <v>13.730601142623298</v>
      </c>
      <c r="G117" s="5">
        <f>(G26+G38*G24)/G38</f>
        <v>28.762990563765754</v>
      </c>
      <c r="H117" s="5">
        <f>(H26+H38*H24)/H38</f>
        <v>166.20280489067557</v>
      </c>
      <c r="I117" s="5">
        <f>(I26+I38*I24)/I38</f>
        <v>-57.500931700109795</v>
      </c>
      <c r="J117" s="5">
        <f>(J26+J38*J24)/J38</f>
        <v>-25.25671820111443</v>
      </c>
      <c r="K117" s="5">
        <f>(K26+K38*K24)/K38</f>
        <v>-15.350239215293428</v>
      </c>
      <c r="L117" s="5">
        <f>(L26+L38*L24)/L38</f>
        <v>-9.879117816505264</v>
      </c>
      <c r="M117" s="5">
        <f>(M26+M38*M24)/M38</f>
        <v>-6.04118692258456</v>
      </c>
      <c r="N117" s="5">
        <f>(N26+N38*N24)/N38</f>
        <v>-3.0000000000000013</v>
      </c>
      <c r="O117" s="5">
        <f>(O26+O38*O24)/O38</f>
        <v>-0.41661888639572037</v>
      </c>
      <c r="P117" s="5">
        <f>(P26+P38*P24)/P38</f>
        <v>1.8785849570446456</v>
      </c>
      <c r="Q117" s="5">
        <f>(Q26+Q38*Q24)/Q38</f>
        <v>3.9895255379310055</v>
      </c>
      <c r="R117" s="5">
        <f>(R26+R38*R24)/R38</f>
        <v>6.004579536913331</v>
      </c>
      <c r="S117" s="5">
        <f>(S26+S38*S24)/S38</f>
        <v>8.051239727031682</v>
      </c>
      <c r="T117" s="5">
        <f>(T26+T38*T24)/T38</f>
        <v>10.428515874111703</v>
      </c>
      <c r="U117" s="5">
        <f>(U26+U38*U24)/U38</f>
        <v>14.172465714233367</v>
      </c>
      <c r="V117" s="5">
        <f>(V26+V38*V24)/V38</f>
        <v>26.666848142005403</v>
      </c>
      <c r="W117" s="5">
        <f>(W26+W38*W24)/W38</f>
        <v>-31.657907227697965</v>
      </c>
      <c r="X117" s="5">
        <f>(X26+X38*X24)/X38</f>
        <v>-2.74054296383693</v>
      </c>
      <c r="Y117" s="5">
        <f>(Y26+Y38*Y24)/Y38</f>
        <v>1.3741516348032101</v>
      </c>
      <c r="Z117" s="5">
        <f>(Z26+Z38*Z24)/Z38</f>
        <v>2.9999999999999987</v>
      </c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  <c r="HK117" s="108"/>
      <c r="HL117" s="108"/>
      <c r="HM117" s="108"/>
      <c r="HN117" s="108"/>
      <c r="HO117" s="108"/>
      <c r="HP117" s="108"/>
      <c r="HQ117" s="108"/>
      <c r="HR117" s="108"/>
      <c r="HS117" s="108"/>
      <c r="HT117" s="108"/>
      <c r="HU117" s="108"/>
      <c r="HV117" s="108"/>
      <c r="HW117" s="108"/>
      <c r="HX117" s="108"/>
      <c r="HY117" s="108"/>
      <c r="HZ117" s="108"/>
      <c r="IA117" s="108"/>
      <c r="IB117" s="108"/>
      <c r="IC117" s="108"/>
      <c r="ID117" s="108"/>
      <c r="IE117" s="108"/>
      <c r="IF117" s="108"/>
      <c r="IG117" s="108"/>
      <c r="IH117" s="108"/>
      <c r="II117" s="108"/>
      <c r="IJ117" s="108"/>
      <c r="IK117" s="108"/>
      <c r="IL117" s="108"/>
      <c r="IM117" s="108"/>
      <c r="IN117" s="108"/>
      <c r="IO117" s="108"/>
      <c r="IP117" s="108"/>
      <c r="IQ117" s="108"/>
      <c r="IR117" s="108"/>
      <c r="IS117" s="108"/>
      <c r="IT117" s="108"/>
      <c r="IU117" s="108"/>
      <c r="IV117" s="108"/>
    </row>
    <row r="118" spans="2:256" ht="12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  <c r="IO118" s="108"/>
      <c r="IP118" s="108"/>
      <c r="IQ118" s="108"/>
      <c r="IR118" s="108"/>
      <c r="IS118" s="108"/>
      <c r="IT118" s="108"/>
      <c r="IU118" s="108"/>
      <c r="IV118" s="108"/>
    </row>
    <row r="119" spans="1:256" ht="12" customHeight="1">
      <c r="A119" t="s">
        <v>286</v>
      </c>
      <c r="B119" s="5">
        <f>(B42*B24-B28-B38*(B57-B26))/B42</f>
        <v>-25.035305323558582</v>
      </c>
      <c r="C119" s="5">
        <f>(C42*C24-C28-C38*(C57-C26))/C42</f>
        <v>22.66511091950999</v>
      </c>
      <c r="D119" s="5">
        <f>(D42*D24-D28-D38*(D57-D26))/D42</f>
        <v>10.63044397739007</v>
      </c>
      <c r="E119" s="5">
        <f>(E42*E24-E28-E38*(E57-E26))/E42</f>
        <v>7.463741958501767</v>
      </c>
      <c r="F119" s="5">
        <f>(F42*F24-F28-F38*(F57-F26))/F42</f>
        <v>5.406547073319323</v>
      </c>
      <c r="G119" s="5">
        <f>(G42*G24-G28-G38*(G57-G26))/G42</f>
        <v>3.1023184789024154</v>
      </c>
      <c r="H119" s="5">
        <f>(H42*H24-H28-H38*(H57-H26))/H42</f>
        <v>0.007821082391983286</v>
      </c>
      <c r="I119" s="5">
        <f>(I42*I24-I28-I38*(I57-I26))/I42</f>
        <v>-3.9290852566870886</v>
      </c>
      <c r="J119" s="5">
        <f>(J42*J24-J28-J38*(J57-J26))/J42</f>
        <v>-8.332715367187904</v>
      </c>
      <c r="K119" s="5">
        <f>(K42*K24-K28-K38*(K57-K26))/K42</f>
        <v>-12.625531315475707</v>
      </c>
      <c r="L119" s="5">
        <f>(L42*L24-L28-L38*(L57-L26))/L42</f>
        <v>-16.32081388683591</v>
      </c>
      <c r="M119" s="5">
        <f>(M42*M24-M28-M38*(M57-M26))/M42</f>
        <v>-19.191610026273725</v>
      </c>
      <c r="N119" s="5">
        <f>(N42*N24-N28-N38*(N57-N26))/N42</f>
        <v>-21.298911370315672</v>
      </c>
      <c r="O119" s="5">
        <f>(O42*O24-O28-O38*(O57-O26))/O42</f>
        <v>-23.05487812169524</v>
      </c>
      <c r="P119" s="5">
        <f>(P42*P24-P28-P38*(P57-P26))/P42</f>
        <v>-25.929726013952354</v>
      </c>
      <c r="Q119" s="5">
        <f>(Q42*Q24-Q28-Q38*(Q57-Q26))/Q42</f>
        <v>-43.67133682712038</v>
      </c>
      <c r="R119" s="5">
        <f>(R42*R24-R28-R38*(R57-R26))/R42</f>
        <v>8.44328957985321</v>
      </c>
      <c r="S119" s="5">
        <f>(S42*S24-S28-S38*(S57-S26))/S42</f>
        <v>-3.497764110617011</v>
      </c>
      <c r="T119" s="5">
        <f>(T42*T24-T28-T38*(T57-T26))/T42</f>
        <v>-3.9805034830351036</v>
      </c>
      <c r="U119" s="5">
        <f>(U42*U24-U28-U38*(U57-U26))/U42</f>
        <v>-2.8352818157034765</v>
      </c>
      <c r="V119" s="5">
        <f>(V42*V24-V28-V38*(V57-V26))/V42</f>
        <v>-1.5469707299043218</v>
      </c>
      <c r="W119" s="5">
        <f>(W42*W24-W28-W38*(W57-W26))/W42</f>
        <v>-0.787971302132309</v>
      </c>
      <c r="X119" s="5">
        <f>(X42*X24-X28-X38*(X57-X26))/X42</f>
        <v>-1.1673608519510037</v>
      </c>
      <c r="Y119" s="5">
        <f>(Y42*Y24-Y28-Y38*(Y57-Y26))/Y42</f>
        <v>-4.1364834741942325</v>
      </c>
      <c r="Z119" s="5">
        <f>(Z42*Z24-Z28-Z38*(Z57-Z26))/Z42</f>
        <v>-25.035305323558582</v>
      </c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  <c r="II119" s="108"/>
      <c r="IJ119" s="108"/>
      <c r="IK119" s="108"/>
      <c r="IL119" s="108"/>
      <c r="IM119" s="108"/>
      <c r="IN119" s="108"/>
      <c r="IO119" s="108"/>
      <c r="IP119" s="108"/>
      <c r="IQ119" s="108"/>
      <c r="IR119" s="108"/>
      <c r="IS119" s="108"/>
      <c r="IT119" s="108"/>
      <c r="IU119" s="108"/>
      <c r="IV119" s="108"/>
    </row>
    <row r="120" spans="1:256" ht="12" customHeight="1">
      <c r="A120" t="s">
        <v>284</v>
      </c>
      <c r="B120" s="5">
        <f>(B28-B25*B42-B38*(B58-B27))/B42</f>
        <v>15.62227062034132</v>
      </c>
      <c r="C120" s="5">
        <f>(C28-C25*C42-C38*(C58-C27))/C42</f>
        <v>-14.17711542589498</v>
      </c>
      <c r="D120" s="5">
        <f>(D28-D25*D42-D38*(D58-D27))/D42</f>
        <v>-8.140633082515505</v>
      </c>
      <c r="E120" s="5">
        <f>(E28-E25*E42-E38*(E58-E27))/E42</f>
        <v>-7.1110354582350555</v>
      </c>
      <c r="F120" s="5">
        <f>(F28-F25*F42-F38*(F58-F27))/F42</f>
        <v>-6.443650250598666</v>
      </c>
      <c r="G120" s="5">
        <f>(G28-G25*G42-G38*(G58-G27))/G42</f>
        <v>-5.22195284527356</v>
      </c>
      <c r="H120" s="5">
        <f>(H28-H25*H42-H38*(H58-H27))/H42</f>
        <v>-3.008001628748781</v>
      </c>
      <c r="I120" s="5">
        <f>(I28-I25*I42-I38*(I58-I27))/I42</f>
        <v>0.2538075007504953</v>
      </c>
      <c r="J120" s="5">
        <f>(J28-J25*J42-J38*(J58-J27))/J42</f>
        <v>4.246403124058344</v>
      </c>
      <c r="K120" s="5">
        <f>(K28-K25*K42-K38*(K58-K27))/K42</f>
        <v>8.4814458799862</v>
      </c>
      <c r="L120" s="5">
        <f>(L28-L25*L42-L38*(L58-L27))/L42</f>
        <v>12.577373843051099</v>
      </c>
      <c r="M120" s="5">
        <f>(M28-M25*M42-M38*(M58-M27))/M42</f>
        <v>16.433500875956035</v>
      </c>
      <c r="N120" s="5">
        <f>(N28-N25*N42-N38*(N58-N27))/N42</f>
        <v>20.3073119413316</v>
      </c>
      <c r="O120" s="5">
        <f>(O28-O25*O42-O38*(O58-O27))/O42</f>
        <v>25.0640818577474</v>
      </c>
      <c r="P120" s="5">
        <f>(P28-P25*P42-P38*(P58-P27))/P42</f>
        <v>33.84797568703769</v>
      </c>
      <c r="Q120" s="5">
        <f>(Q28-Q25*Q42-Q38*(Q58-Q27))/Q42</f>
        <v>77.27463835474983</v>
      </c>
      <c r="R120" s="5">
        <f>(R28-R25*R42-R38*(R58-R27))/R42</f>
        <v>-35.01459395585732</v>
      </c>
      <c r="S120" s="5">
        <f>(S28-S25*S42-S38*(S58-S27))/S42</f>
        <v>-3.0647448683931877</v>
      </c>
      <c r="T120" s="5">
        <f>(T28-T25*T42-T38*(T58-T27))/T42</f>
        <v>3.1787903367832016</v>
      </c>
      <c r="U120" s="5">
        <f>(U28-U25*U42-U38*(U58-U27))/U42</f>
        <v>5.121893827380141</v>
      </c>
      <c r="V120" s="5">
        <f>(V28-V25*V42-V38*(V58-V27))/V42</f>
        <v>5.430242212319386</v>
      </c>
      <c r="W120" s="5">
        <f>(W28-W25*W42-W38*(W58-W27))/W42</f>
        <v>4.973862940867254</v>
      </c>
      <c r="X120" s="5">
        <f>(X28-X25*X42-X38*(X58-X27))/X42</f>
        <v>4.364306615474336</v>
      </c>
      <c r="Y120" s="5">
        <f>(Y28-Y25*Y42-Y38*(Y58-Y27))/Y42</f>
        <v>4.747254945012721</v>
      </c>
      <c r="Z120" s="5">
        <f>(Z28-Z25*Z42-Z38*(Z58-Z27))/Z42</f>
        <v>15.62227062034132</v>
      </c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  <c r="II120" s="108"/>
      <c r="IJ120" s="108"/>
      <c r="IK120" s="108"/>
      <c r="IL120" s="108"/>
      <c r="IM120" s="108"/>
      <c r="IN120" s="108"/>
      <c r="IO120" s="108"/>
      <c r="IP120" s="108"/>
      <c r="IQ120" s="108"/>
      <c r="IR120" s="108"/>
      <c r="IS120" s="108"/>
      <c r="IT120" s="108"/>
      <c r="IU120" s="108"/>
      <c r="IV120" s="108"/>
    </row>
    <row r="121" spans="2:256" ht="12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  <c r="II121" s="108"/>
      <c r="IJ121" s="108"/>
      <c r="IK121" s="108"/>
      <c r="IL121" s="108"/>
      <c r="IM121" s="108"/>
      <c r="IN121" s="108"/>
      <c r="IO121" s="108"/>
      <c r="IP121" s="108"/>
      <c r="IQ121" s="108"/>
      <c r="IR121" s="108"/>
      <c r="IS121" s="108"/>
      <c r="IT121" s="108"/>
      <c r="IU121" s="108"/>
      <c r="IV121" s="108"/>
    </row>
    <row r="122" spans="1:256" ht="12" customHeight="1">
      <c r="A122" s="9"/>
      <c r="B122" s="98" t="s">
        <v>289</v>
      </c>
      <c r="C122" s="9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  <c r="II122" s="108"/>
      <c r="IJ122" s="108"/>
      <c r="IK122" s="108"/>
      <c r="IL122" s="108"/>
      <c r="IM122" s="108"/>
      <c r="IN122" s="108"/>
      <c r="IO122" s="108"/>
      <c r="IP122" s="108"/>
      <c r="IQ122" s="108"/>
      <c r="IR122" s="108"/>
      <c r="IS122" s="108"/>
      <c r="IT122" s="108"/>
      <c r="IU122" s="108"/>
      <c r="IV122" s="108"/>
    </row>
    <row r="123" spans="1:256" ht="12" customHeight="1">
      <c r="A123" t="s">
        <v>283</v>
      </c>
      <c r="B123" s="5">
        <f>(B67+B77*B65)/B77</f>
        <v>0.3657025115333486</v>
      </c>
      <c r="C123" s="5">
        <f>(C67+C77*C65)/C77</f>
        <v>2.1359199752931204</v>
      </c>
      <c r="D123" s="5">
        <f>(D67+D77*D65)/D77</f>
        <v>3.0269404506156343</v>
      </c>
      <c r="E123" s="5">
        <f>(E67+E77*E65)/E77</f>
        <v>3.3499202193898028</v>
      </c>
      <c r="F123" s="5">
        <f>(F67+F77*F65)/F77</f>
        <v>3.30389431956941</v>
      </c>
      <c r="G123" s="5">
        <f>(G67+G77*G65)/G77</f>
        <v>2.9859164249995613</v>
      </c>
      <c r="H123" s="5">
        <f>(H67+H77*H65)/H77</f>
        <v>2.4312886752878518</v>
      </c>
      <c r="I123" s="5">
        <f>(I67+I77*I65)/I77</f>
        <v>1.6420102608077056</v>
      </c>
      <c r="J123" s="5">
        <f>(J67+J77*J65)/J77</f>
        <v>0.5969022750933248</v>
      </c>
      <c r="K123" s="5">
        <f>(K67+K77*K65)/K77</f>
        <v>-0.7506478970511219</v>
      </c>
      <c r="L123" s="5">
        <f>(L67+L77*L65)/L77</f>
        <v>-2.4837069219766463</v>
      </c>
      <c r="M123" s="5">
        <f>(M67+M77*M65)/M77</f>
        <v>-4.742130543518528</v>
      </c>
      <c r="N123" s="5">
        <f>(N67+N77*N65)/N77</f>
        <v>-7.756133202125489</v>
      </c>
      <c r="O123" s="5">
        <f>(O67+O77*O65)/O77</f>
        <v>-11.897668751950134</v>
      </c>
      <c r="P123" s="5">
        <f>(P67+P77*P65)/P77</f>
        <v>-17.739092414191713</v>
      </c>
      <c r="Q123" s="5">
        <f>(Q67+Q77*Q65)/Q77</f>
        <v>-26.01556546500872</v>
      </c>
      <c r="R123" s="5">
        <f>(R67+R77*R65)/R77</f>
        <v>-37.00739356130301</v>
      </c>
      <c r="S123" s="5">
        <f>(S67+S77*S65)/S77</f>
        <v>-48.14279843506702</v>
      </c>
      <c r="T123" s="5">
        <f>(T67+T77*T65)/T77</f>
        <v>-51.38441704538924</v>
      </c>
      <c r="U123" s="5">
        <f>(U67+U77*U65)/U77</f>
        <v>-41.78965840583141</v>
      </c>
      <c r="V123" s="5">
        <f>(V67+V77*V65)/V77</f>
        <v>-27.210473771899647</v>
      </c>
      <c r="W123" s="5">
        <f>(W67+W77*W65)/W77</f>
        <v>-15.417160830775671</v>
      </c>
      <c r="X123" s="5">
        <f>(X67+X77*X65)/X77</f>
        <v>-7.611526171451966</v>
      </c>
      <c r="Y123" s="5">
        <f>(Y67+Y77*Y65)/Y77</f>
        <v>-2.6849591298815834</v>
      </c>
      <c r="Z123" s="5">
        <f>(Z67+Z77*Z65)/Z77</f>
        <v>0.3657025115333498</v>
      </c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  <c r="II123" s="108"/>
      <c r="IJ123" s="108"/>
      <c r="IK123" s="108"/>
      <c r="IL123" s="108"/>
      <c r="IM123" s="108"/>
      <c r="IN123" s="108"/>
      <c r="IO123" s="108"/>
      <c r="IP123" s="108"/>
      <c r="IQ123" s="108"/>
      <c r="IR123" s="108"/>
      <c r="IS123" s="108"/>
      <c r="IT123" s="108"/>
      <c r="IU123" s="108"/>
      <c r="IV123" s="108"/>
    </row>
    <row r="124" spans="1:256" s="112" customFormat="1" ht="12" customHeight="1">
      <c r="A124" t="s">
        <v>285</v>
      </c>
      <c r="B124" s="7">
        <f>(B66+B77*B63)/B77</f>
        <v>-1.6645455825213804</v>
      </c>
      <c r="C124" s="7">
        <f>(C66+C77*C63)/C77</f>
        <v>-0.16075445628784235</v>
      </c>
      <c r="D124" s="7">
        <f>(D66+D77*D63)/D77</f>
        <v>0.7486113765924213</v>
      </c>
      <c r="E124" s="7">
        <f>(E66+E77*E63)/E77</f>
        <v>1.12026144451583</v>
      </c>
      <c r="F124" s="7">
        <f>(F66+F77*F63)/F77</f>
        <v>1.0655628319035955</v>
      </c>
      <c r="G124" s="7">
        <f>(G66+G77*G63)/G77</f>
        <v>0.7032972332466841</v>
      </c>
      <c r="H124" s="7">
        <f>(H66+H77*H63)/H77</f>
        <v>0.125119263279452</v>
      </c>
      <c r="I124" s="7">
        <f>(I66+I77*I63)/I77</f>
        <v>-0.6119453461402421</v>
      </c>
      <c r="J124" s="7">
        <f>(J66+J77*J63)/J77</f>
        <v>-1.4834590607715856</v>
      </c>
      <c r="K124" s="7">
        <f>(K66+K77*K63)/K77</f>
        <v>-2.4958205858228615</v>
      </c>
      <c r="L124" s="7">
        <f>(L66+L77*L63)/L77</f>
        <v>-3.688265262090648</v>
      </c>
      <c r="M124" s="7">
        <f>(M66+M77*M63)/M77</f>
        <v>-5.140647841293863</v>
      </c>
      <c r="N124" s="7">
        <f>(N66+N77*N63)/N77</f>
        <v>-6.989683759097149</v>
      </c>
      <c r="O124" s="7">
        <f>(O66+O77*O63)/O77</f>
        <v>-9.456315139011258</v>
      </c>
      <c r="P124" s="7">
        <f>(P66+P77*P63)/P77</f>
        <v>-12.878011245005666</v>
      </c>
      <c r="Q124" s="7">
        <f>(Q66+Q77*Q63)/Q77</f>
        <v>-17.686056767179135</v>
      </c>
      <c r="R124" s="7">
        <f>(R66+R77*R63)/R77</f>
        <v>-24.048308740896356</v>
      </c>
      <c r="S124" s="7">
        <f>(S66+S77*S63)/S77</f>
        <v>-30.48467490742312</v>
      </c>
      <c r="T124" s="7">
        <f>(T66+T77*T63)/T77</f>
        <v>-32.357594018758945</v>
      </c>
      <c r="U124" s="7">
        <f>(U66+U77*U63)/U77</f>
        <v>-26.813137967445446</v>
      </c>
      <c r="V124" s="7">
        <f>(V66+V77*V63)/V77</f>
        <v>-18.378497204700462</v>
      </c>
      <c r="W124" s="7">
        <f>(W66+W77*W63)/W77</f>
        <v>-11.52250855387209</v>
      </c>
      <c r="X124" s="7">
        <f>(X66+X77*X63)/X77</f>
        <v>-6.902379431436863</v>
      </c>
      <c r="Y124" s="7">
        <f>(Y66+Y77*Y63)/Y77</f>
        <v>-3.8213878819854594</v>
      </c>
      <c r="Z124" s="7">
        <f>(Z66+Z77*Z63)/Z77</f>
        <v>-1.6645455825213795</v>
      </c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  <c r="GP124" s="111"/>
      <c r="GQ124" s="111"/>
      <c r="GR124" s="111"/>
      <c r="GS124" s="111"/>
      <c r="GT124" s="111"/>
      <c r="GU124" s="111"/>
      <c r="GV124" s="111"/>
      <c r="GW124" s="111"/>
      <c r="GX124" s="111"/>
      <c r="GY124" s="111"/>
      <c r="GZ124" s="111"/>
      <c r="HA124" s="111"/>
      <c r="HB124" s="111"/>
      <c r="HC124" s="111"/>
      <c r="HD124" s="111"/>
      <c r="HE124" s="111"/>
      <c r="HF124" s="111"/>
      <c r="HG124" s="111"/>
      <c r="HH124" s="111"/>
      <c r="HI124" s="111"/>
      <c r="HJ124" s="111"/>
      <c r="HK124" s="111"/>
      <c r="HL124" s="111"/>
      <c r="HM124" s="111"/>
      <c r="HN124" s="111"/>
      <c r="HO124" s="111"/>
      <c r="HP124" s="111"/>
      <c r="HQ124" s="111"/>
      <c r="HR124" s="111"/>
      <c r="HS124" s="111"/>
      <c r="HT124" s="111"/>
      <c r="HU124" s="111"/>
      <c r="HV124" s="111"/>
      <c r="HW124" s="111"/>
      <c r="HX124" s="111"/>
      <c r="HY124" s="111"/>
      <c r="HZ124" s="111"/>
      <c r="IA124" s="111"/>
      <c r="IB124" s="111"/>
      <c r="IC124" s="111"/>
      <c r="ID124" s="111"/>
      <c r="IE124" s="111"/>
      <c r="IF124" s="111"/>
      <c r="IG124" s="111"/>
      <c r="IH124" s="111"/>
      <c r="II124" s="111"/>
      <c r="IJ124" s="111"/>
      <c r="IK124" s="111"/>
      <c r="IL124" s="111"/>
      <c r="IM124" s="111"/>
      <c r="IN124" s="111"/>
      <c r="IO124" s="111"/>
      <c r="IP124" s="111"/>
      <c r="IQ124" s="111"/>
      <c r="IR124" s="111"/>
      <c r="IS124" s="111"/>
      <c r="IT124" s="111"/>
      <c r="IU124" s="111"/>
      <c r="IV124" s="111"/>
    </row>
    <row r="125" spans="1:256" s="112" customFormat="1" ht="12" customHeight="1">
      <c r="A12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R125" s="111"/>
      <c r="GS125" s="111"/>
      <c r="GT125" s="111"/>
      <c r="GU125" s="111"/>
      <c r="GV125" s="111"/>
      <c r="GW125" s="111"/>
      <c r="GX125" s="111"/>
      <c r="GY125" s="111"/>
      <c r="GZ125" s="111"/>
      <c r="HA125" s="111"/>
      <c r="HB125" s="111"/>
      <c r="HC125" s="111"/>
      <c r="HD125" s="111"/>
      <c r="HE125" s="111"/>
      <c r="HF125" s="111"/>
      <c r="HG125" s="111"/>
      <c r="HH125" s="111"/>
      <c r="HI125" s="111"/>
      <c r="HJ125" s="111"/>
      <c r="HK125" s="111"/>
      <c r="HL125" s="111"/>
      <c r="HM125" s="111"/>
      <c r="HN125" s="111"/>
      <c r="HO125" s="111"/>
      <c r="HP125" s="111"/>
      <c r="HQ125" s="111"/>
      <c r="HR125" s="111"/>
      <c r="HS125" s="111"/>
      <c r="HT125" s="111"/>
      <c r="HU125" s="111"/>
      <c r="HV125" s="111"/>
      <c r="HW125" s="111"/>
      <c r="HX125" s="111"/>
      <c r="HY125" s="111"/>
      <c r="HZ125" s="111"/>
      <c r="IA125" s="111"/>
      <c r="IB125" s="111"/>
      <c r="IC125" s="111"/>
      <c r="ID125" s="111"/>
      <c r="IE125" s="111"/>
      <c r="IF125" s="111"/>
      <c r="IG125" s="111"/>
      <c r="IH125" s="111"/>
      <c r="II125" s="111"/>
      <c r="IJ125" s="111"/>
      <c r="IK125" s="111"/>
      <c r="IL125" s="111"/>
      <c r="IM125" s="111"/>
      <c r="IN125" s="111"/>
      <c r="IO125" s="111"/>
      <c r="IP125" s="111"/>
      <c r="IQ125" s="111"/>
      <c r="IR125" s="111"/>
      <c r="IS125" s="111"/>
      <c r="IT125" s="111"/>
      <c r="IU125" s="111"/>
      <c r="IV125" s="111"/>
    </row>
    <row r="126" spans="1:256" s="112" customFormat="1" ht="12" customHeight="1">
      <c r="A126" t="s">
        <v>286</v>
      </c>
      <c r="B126" s="7">
        <f>(B78*B63-B68-B77*(B83-B66))/B78</f>
        <v>7.10790964877798</v>
      </c>
      <c r="C126" s="7">
        <f>(C78*C63-C68-C77*(C83-C66))/C78</f>
        <v>14.755125320630007</v>
      </c>
      <c r="D126" s="7">
        <f>(D78*D63-D68-D77*(D83-D66))/D78</f>
        <v>13.470035559356328</v>
      </c>
      <c r="E126" s="7">
        <f>(E78*E63-E68-E77*(E83-E66))/E78</f>
        <v>13.264892287089268</v>
      </c>
      <c r="F126" s="7">
        <f>(F78*F63-F68-F77*(F83-F66))/F78</f>
        <v>13.296102662809131</v>
      </c>
      <c r="G126" s="7">
        <f>(G78*G63-G68-G77*(G83-G66))/G78</f>
        <v>13.597838617443523</v>
      </c>
      <c r="H126" s="7">
        <f>(H78*H63-H68-H77*(H83-H66))/H78</f>
        <v>14.946299131646974</v>
      </c>
      <c r="I126" s="7">
        <f>(I78*I63-I68-I77*(I83-I66))/I78</f>
        <v>-18.147583407537823</v>
      </c>
      <c r="J126" s="7">
        <f>(J78*J63-J68-J77*(J83-J66))/J78</f>
        <v>9.184913613688229</v>
      </c>
      <c r="K126" s="7">
        <f>(K78*K63-K68-K77*(K83-K66))/K78</f>
        <v>10.23408743991242</v>
      </c>
      <c r="L126" s="7">
        <f>(L78*L63-L68-L77*(L83-L66))/L78</f>
        <v>10.632802213291804</v>
      </c>
      <c r="M126" s="7">
        <f>(M78*M63-M68-M77*(M83-M66))/M78</f>
        <v>11.005850147684848</v>
      </c>
      <c r="N126" s="7">
        <f>(N78*N63-N68-N77*(N83-N66))/N78</f>
        <v>11.567575439328314</v>
      </c>
      <c r="O126" s="7">
        <f>(O78*O63-O68-O77*(O83-O66))/O78</f>
        <v>12.523067675870928</v>
      </c>
      <c r="P126" s="7">
        <f>(P78*P63-P68-P77*(P83-P66))/P78</f>
        <v>14.227149401322807</v>
      </c>
      <c r="Q126" s="7">
        <f>(Q78*Q63-Q68-Q77*(Q83-Q66))/Q78</f>
        <v>17.459576489314486</v>
      </c>
      <c r="R126" s="7">
        <f>(R78*R63-R68-R77*(R83-R66))/R78</f>
        <v>23.966641241445572</v>
      </c>
      <c r="S126" s="7">
        <f>(S78*S63-S68-S77*(S83-S66))/S78</f>
        <v>35.46231057976686</v>
      </c>
      <c r="T126" s="7">
        <f>(T78*T63-T68-T77*(T83-T66))/T78</f>
        <v>40.48054377975606</v>
      </c>
      <c r="U126" s="7">
        <f>(U78*U63-U68-U77*(U83-U66))/U78</f>
        <v>28.93306104374181</v>
      </c>
      <c r="V126" s="7">
        <f>(V78*V63-V68-V77*(V83-V66))/V78</f>
        <v>19.359354119033476</v>
      </c>
      <c r="W126" s="7">
        <f>(W78*W63-W68-W77*(W83-W66))/W78</f>
        <v>14.613782266845632</v>
      </c>
      <c r="X126" s="7">
        <f>(X78*X63-X68-X77*(X83-X66))/X78</f>
        <v>12.283368007082753</v>
      </c>
      <c r="Y126" s="7">
        <f>(Y78*Y63-Y68-Y77*(Y83-Y66))/Y78</f>
        <v>10.938820125021111</v>
      </c>
      <c r="Z126" s="7">
        <f>(Z78*Z63-Z68-Z77*(Z83-Z66))/Z78</f>
        <v>7.107909648777985</v>
      </c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S126" s="111"/>
      <c r="FT126" s="111"/>
      <c r="FU126" s="111"/>
      <c r="FV126" s="111"/>
      <c r="FW126" s="111"/>
      <c r="FX126" s="111"/>
      <c r="FY126" s="111"/>
      <c r="FZ126" s="111"/>
      <c r="GA126" s="111"/>
      <c r="GB126" s="111"/>
      <c r="GC126" s="111"/>
      <c r="GD126" s="111"/>
      <c r="GE126" s="111"/>
      <c r="GF126" s="111"/>
      <c r="GG126" s="111"/>
      <c r="GH126" s="111"/>
      <c r="GI126" s="111"/>
      <c r="GJ126" s="111"/>
      <c r="GK126" s="111"/>
      <c r="GL126" s="111"/>
      <c r="GM126" s="111"/>
      <c r="GN126" s="111"/>
      <c r="GO126" s="111"/>
      <c r="GP126" s="111"/>
      <c r="GQ126" s="111"/>
      <c r="GR126" s="111"/>
      <c r="GS126" s="111"/>
      <c r="GT126" s="111"/>
      <c r="GU126" s="111"/>
      <c r="GV126" s="111"/>
      <c r="GW126" s="111"/>
      <c r="GX126" s="111"/>
      <c r="GY126" s="111"/>
      <c r="GZ126" s="111"/>
      <c r="HA126" s="111"/>
      <c r="HB126" s="111"/>
      <c r="HC126" s="111"/>
      <c r="HD126" s="111"/>
      <c r="HE126" s="111"/>
      <c r="HF126" s="111"/>
      <c r="HG126" s="111"/>
      <c r="HH126" s="111"/>
      <c r="HI126" s="111"/>
      <c r="HJ126" s="111"/>
      <c r="HK126" s="111"/>
      <c r="HL126" s="111"/>
      <c r="HM126" s="111"/>
      <c r="HN126" s="111"/>
      <c r="HO126" s="111"/>
      <c r="HP126" s="111"/>
      <c r="HQ126" s="111"/>
      <c r="HR126" s="111"/>
      <c r="HS126" s="111"/>
      <c r="HT126" s="111"/>
      <c r="HU126" s="111"/>
      <c r="HV126" s="111"/>
      <c r="HW126" s="111"/>
      <c r="HX126" s="111"/>
      <c r="HY126" s="111"/>
      <c r="HZ126" s="111"/>
      <c r="IA126" s="111"/>
      <c r="IB126" s="111"/>
      <c r="IC126" s="111"/>
      <c r="ID126" s="111"/>
      <c r="IE126" s="111"/>
      <c r="IF126" s="111"/>
      <c r="IG126" s="111"/>
      <c r="IH126" s="111"/>
      <c r="II126" s="111"/>
      <c r="IJ126" s="111"/>
      <c r="IK126" s="111"/>
      <c r="IL126" s="111"/>
      <c r="IM126" s="111"/>
      <c r="IN126" s="111"/>
      <c r="IO126" s="111"/>
      <c r="IP126" s="111"/>
      <c r="IQ126" s="111"/>
      <c r="IR126" s="111"/>
      <c r="IS126" s="111"/>
      <c r="IT126" s="111"/>
      <c r="IU126" s="111"/>
      <c r="IV126" s="111"/>
    </row>
    <row r="127" spans="1:256" s="112" customFormat="1" ht="12.75">
      <c r="A127" t="s">
        <v>284</v>
      </c>
      <c r="B127" s="7">
        <f>(B68-B65*B78-B77*(B84-B67))/B78</f>
        <v>-3.492494668672038</v>
      </c>
      <c r="C127" s="7">
        <f>(C68-C65*C78-C77*(C84-C67))/C78</f>
        <v>-12.42555195865772</v>
      </c>
      <c r="D127" s="7">
        <f>(D68-D65*D78-D77*(D84-D67))/D78</f>
        <v>-10.471202402132917</v>
      </c>
      <c r="E127" s="7">
        <f>(E68-E65*E78-E77*(E84-E67))/E78</f>
        <v>-10.058539948626219</v>
      </c>
      <c r="F127" s="7">
        <f>(F68-F65*F78-F77*(F84-F67))/F78</f>
        <v>-10.120833049122199</v>
      </c>
      <c r="G127" s="7">
        <f>(G68-G65*G78-G77*(G84-G67))/G78</f>
        <v>-10.65440233395294</v>
      </c>
      <c r="H127" s="7">
        <f>(H68-H65*H78-H77*(H84-H67))/H78</f>
        <v>-12.604628636213928</v>
      </c>
      <c r="I127" s="7">
        <f>(I68-I65*I78-I77*(I84-I67))/I78</f>
        <v>29.090019719261672</v>
      </c>
      <c r="J127" s="7">
        <f>(J68-J65*J78-J77*(J84-J67))/J78</f>
        <v>-5.8891975208910186</v>
      </c>
      <c r="K127" s="7">
        <f>(K68-K65*K78-K77*(K84-K67))/K78</f>
        <v>-7.492369692994963</v>
      </c>
      <c r="L127" s="7">
        <f>(L68-L65*L78-L77*(L84-L67))/L78</f>
        <v>-8.20182573642462</v>
      </c>
      <c r="M127" s="7">
        <f>(M68-M65*M78-M77*(M84-M67))/M78</f>
        <v>-8.779161159633365</v>
      </c>
      <c r="N127" s="7">
        <f>(N68-N65*N78-N77*(N84-N67))/N78</f>
        <v>-9.468387096355004</v>
      </c>
      <c r="O127" s="7">
        <f>(O68-O65*O78-O77*(O84-O67))/O78</f>
        <v>-10.491688808194933</v>
      </c>
      <c r="P127" s="7">
        <f>(P68-P65*P78-P77*(P84-P67))/P78</f>
        <v>-12.22012105661736</v>
      </c>
      <c r="Q127" s="7">
        <f>(Q68-Q65*Q78-Q77*(Q84-Q67))/Q78</f>
        <v>-15.449684040663334</v>
      </c>
      <c r="R127" s="7">
        <f>(R68-R65*R78-R77*(R84-R67))/R78</f>
        <v>-21.94205390944536</v>
      </c>
      <c r="S127" s="7">
        <f>(S68-S65*S78-S77*(S84-S67))/S78</f>
        <v>-33.42455155471323</v>
      </c>
      <c r="T127" s="7">
        <f>(T68-T65*T78-T77*(T84-T67))/T78</f>
        <v>-38.43968404689621</v>
      </c>
      <c r="U127" s="7">
        <f>(U68-U65*U78-U77*(U84-U67))/U78</f>
        <v>-26.903028474018264</v>
      </c>
      <c r="V127" s="7">
        <f>(V68-V65*V78-V77*(V84-V67))/V78</f>
        <v>-17.351021087138818</v>
      </c>
      <c r="W127" s="7">
        <f>(W68-W65*W78-W77*(W84-W67))/W78</f>
        <v>-12.61117622959538</v>
      </c>
      <c r="X127" s="7">
        <f>(X68-X65*X78-X77*(X84-X67))/X78</f>
        <v>-10.201755274235499</v>
      </c>
      <c r="Y127" s="7">
        <f>(Y68-Y65*Y78-Y77*(Y84-Y67))/Y78</f>
        <v>-8.555981818534171</v>
      </c>
      <c r="Z127" s="7">
        <f>(Z68-Z65*Z78-Z77*(Z84-Z67))/Z78</f>
        <v>-3.4924946686720415</v>
      </c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  <c r="GP127" s="111"/>
      <c r="GQ127" s="111"/>
      <c r="GR127" s="111"/>
      <c r="GS127" s="111"/>
      <c r="GT127" s="111"/>
      <c r="GU127" s="111"/>
      <c r="GV127" s="111"/>
      <c r="GW127" s="111"/>
      <c r="GX127" s="111"/>
      <c r="GY127" s="111"/>
      <c r="GZ127" s="111"/>
      <c r="HA127" s="111"/>
      <c r="HB127" s="111"/>
      <c r="HC127" s="111"/>
      <c r="HD127" s="111"/>
      <c r="HE127" s="111"/>
      <c r="HF127" s="111"/>
      <c r="HG127" s="111"/>
      <c r="HH127" s="111"/>
      <c r="HI127" s="111"/>
      <c r="HJ127" s="111"/>
      <c r="HK127" s="111"/>
      <c r="HL127" s="111"/>
      <c r="HM127" s="111"/>
      <c r="HN127" s="111"/>
      <c r="HO127" s="111"/>
      <c r="HP127" s="111"/>
      <c r="HQ127" s="111"/>
      <c r="HR127" s="111"/>
      <c r="HS127" s="111"/>
      <c r="HT127" s="111"/>
      <c r="HU127" s="111"/>
      <c r="HV127" s="111"/>
      <c r="HW127" s="111"/>
      <c r="HX127" s="111"/>
      <c r="HY127" s="111"/>
      <c r="HZ127" s="111"/>
      <c r="IA127" s="111"/>
      <c r="IB127" s="111"/>
      <c r="IC127" s="111"/>
      <c r="ID127" s="111"/>
      <c r="IE127" s="111"/>
      <c r="IF127" s="111"/>
      <c r="IG127" s="111"/>
      <c r="IH127" s="111"/>
      <c r="II127" s="111"/>
      <c r="IJ127" s="111"/>
      <c r="IK127" s="111"/>
      <c r="IL127" s="111"/>
      <c r="IM127" s="111"/>
      <c r="IN127" s="111"/>
      <c r="IO127" s="111"/>
      <c r="IP127" s="111"/>
      <c r="IQ127" s="111"/>
      <c r="IR127" s="111"/>
      <c r="IS127" s="111"/>
      <c r="IT127" s="111"/>
      <c r="IU127" s="111"/>
      <c r="IV127" s="111"/>
    </row>
    <row r="128" spans="1:256" s="112" customFormat="1" ht="12.75">
      <c r="A128" s="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  <c r="II128" s="111"/>
      <c r="IJ128" s="111"/>
      <c r="IK128" s="111"/>
      <c r="IL128" s="111"/>
      <c r="IM128" s="111"/>
      <c r="IN128" s="111"/>
      <c r="IO128" s="111"/>
      <c r="IP128" s="111"/>
      <c r="IQ128" s="111"/>
      <c r="IR128" s="111"/>
      <c r="IS128" s="111"/>
      <c r="IT128" s="111"/>
      <c r="IU128" s="111"/>
      <c r="IV128" s="111"/>
    </row>
    <row r="129" spans="1:26" ht="12.75">
      <c r="A129" s="24"/>
      <c r="B129" s="99" t="s">
        <v>106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>
      <c r="A131" s="25"/>
      <c r="B131" s="26"/>
      <c r="C131" s="26"/>
      <c r="D131" s="100" t="s">
        <v>133</v>
      </c>
      <c r="E131" s="100"/>
      <c r="F131" s="100"/>
      <c r="G131" s="100"/>
      <c r="H131" s="100"/>
      <c r="I131" s="100"/>
      <c r="J131" s="100"/>
      <c r="K131" s="100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s="108" customFormat="1" ht="12.75">
      <c r="A132" t="s">
        <v>107</v>
      </c>
      <c r="B132" s="5">
        <f>$J$3*B17-$J$4*B16</f>
        <v>-2</v>
      </c>
      <c r="C132" s="5">
        <f aca="true" t="shared" si="42" ref="C132:Z132">$J$3*C17-$J$4*C16</f>
        <v>-1.9318516525781366</v>
      </c>
      <c r="D132" s="5">
        <f t="shared" si="42"/>
        <v>-1.7320508075688774</v>
      </c>
      <c r="E132" s="5">
        <f t="shared" si="42"/>
        <v>-1.4142135623730951</v>
      </c>
      <c r="F132" s="5">
        <f t="shared" si="42"/>
        <v>-1.0000000000000002</v>
      </c>
      <c r="G132" s="5">
        <f t="shared" si="42"/>
        <v>-0.5176380902050415</v>
      </c>
      <c r="H132" s="5">
        <f t="shared" si="42"/>
        <v>-1.22514845490862E-16</v>
      </c>
      <c r="I132" s="5">
        <f t="shared" si="42"/>
        <v>0.5176380902050417</v>
      </c>
      <c r="J132" s="5">
        <f t="shared" si="42"/>
        <v>0.9999999999999996</v>
      </c>
      <c r="K132" s="5">
        <f t="shared" si="42"/>
        <v>1.414213562373095</v>
      </c>
      <c r="L132" s="5">
        <f t="shared" si="42"/>
        <v>1.7320508075688774</v>
      </c>
      <c r="M132" s="5">
        <f t="shared" si="42"/>
        <v>1.9318516525781364</v>
      </c>
      <c r="N132" s="5">
        <f t="shared" si="42"/>
        <v>2</v>
      </c>
      <c r="O132" s="5">
        <f t="shared" si="42"/>
        <v>1.9318516525781366</v>
      </c>
      <c r="P132" s="5">
        <f t="shared" si="42"/>
        <v>1.7320508075688772</v>
      </c>
      <c r="Q132" s="5">
        <f t="shared" si="42"/>
        <v>1.4142135623730954</v>
      </c>
      <c r="R132" s="5">
        <f t="shared" si="42"/>
        <v>1.0000000000000009</v>
      </c>
      <c r="S132" s="5">
        <f t="shared" si="42"/>
        <v>0.5176380902050413</v>
      </c>
      <c r="T132" s="5">
        <f t="shared" si="42"/>
        <v>3.67544536472586E-16</v>
      </c>
      <c r="U132" s="5">
        <f t="shared" si="42"/>
        <v>-0.5176380902050406</v>
      </c>
      <c r="V132" s="5">
        <f t="shared" si="42"/>
        <v>-1.0000000000000002</v>
      </c>
      <c r="W132" s="5">
        <f t="shared" si="42"/>
        <v>-1.4142135623730947</v>
      </c>
      <c r="X132" s="5">
        <f t="shared" si="42"/>
        <v>-1.7320508075688767</v>
      </c>
      <c r="Y132" s="5">
        <f t="shared" si="42"/>
        <v>-1.9318516525781366</v>
      </c>
      <c r="Z132" s="5">
        <f t="shared" si="42"/>
        <v>-2</v>
      </c>
    </row>
    <row r="133" spans="1:26" s="108" customFormat="1" ht="12.75">
      <c r="A133" t="s">
        <v>108</v>
      </c>
      <c r="B133" s="5">
        <f>$J$3*B16+$J$4*B17</f>
        <v>0</v>
      </c>
      <c r="C133" s="5">
        <f>$J$3*C16+$J$4*C17</f>
        <v>-0.5176380902050415</v>
      </c>
      <c r="D133" s="5">
        <f>$J$3*D16+$J$4*D17</f>
        <v>-0.9999999999999999</v>
      </c>
      <c r="E133" s="5">
        <f>$J$3*E16+$J$4*E17</f>
        <v>-1.414213562373095</v>
      </c>
      <c r="F133" s="5">
        <f>$J$3*F16+$J$4*F17</f>
        <v>-1.7320508075688772</v>
      </c>
      <c r="G133" s="5">
        <f>$J$3*G16+$J$4*G17</f>
        <v>-1.9318516525781366</v>
      </c>
      <c r="H133" s="5">
        <f>$J$3*H16+$J$4*H17</f>
        <v>-2</v>
      </c>
      <c r="I133" s="5">
        <f>$J$3*I16+$J$4*I17</f>
        <v>-1.9318516525781366</v>
      </c>
      <c r="J133" s="5">
        <f>$J$3*J16+$J$4*J17</f>
        <v>-1.7320508075688774</v>
      </c>
      <c r="K133" s="5">
        <f>$J$3*K16+$J$4*K17</f>
        <v>-1.4142135623730951</v>
      </c>
      <c r="L133" s="5">
        <f>$J$3*L16+$J$4*L17</f>
        <v>-0.9999999999999999</v>
      </c>
      <c r="M133" s="5">
        <f>$J$3*M16+$J$4*M17</f>
        <v>-0.517638090205042</v>
      </c>
      <c r="N133" s="5">
        <f>$J$3*N16+$J$4*N17</f>
        <v>-2.45029690981724E-16</v>
      </c>
      <c r="O133" s="5">
        <f>$J$3*O16+$J$4*O17</f>
        <v>0.5176380902050416</v>
      </c>
      <c r="P133" s="5">
        <f>$J$3*P16+$J$4*P17</f>
        <v>1.0000000000000002</v>
      </c>
      <c r="Q133" s="5">
        <f>$J$3*Q16+$J$4*Q17</f>
        <v>1.414213562373095</v>
      </c>
      <c r="R133" s="5">
        <f>$J$3*R16+$J$4*R17</f>
        <v>1.7320508075688767</v>
      </c>
      <c r="S133" s="5">
        <f>$J$3*S16+$J$4*S17</f>
        <v>1.9318516525781366</v>
      </c>
      <c r="T133" s="5">
        <f>$J$3*T16+$J$4*T17</f>
        <v>2</v>
      </c>
      <c r="U133" s="5">
        <f>$J$3*U16+$J$4*U17</f>
        <v>1.9318516525781368</v>
      </c>
      <c r="V133" s="5">
        <f>$J$3*V16+$J$4*V17</f>
        <v>1.7320508075688772</v>
      </c>
      <c r="W133" s="5">
        <f>$J$3*W16+$J$4*W17</f>
        <v>1.4142135623730954</v>
      </c>
      <c r="X133" s="5">
        <f>$J$3*X16+$J$4*X17</f>
        <v>1.0000000000000009</v>
      </c>
      <c r="Y133" s="5">
        <f>$J$3*Y16+$J$4*Y17</f>
        <v>0.5176380902050414</v>
      </c>
      <c r="Z133" s="5">
        <f>$J$3*Z16+$J$4*Z17</f>
        <v>4.90059381963448E-16</v>
      </c>
    </row>
    <row r="134" spans="1:26" s="108" customFormat="1" ht="12.75">
      <c r="A134" t="s">
        <v>109</v>
      </c>
      <c r="B134" s="5">
        <f>-B20*B133</f>
        <v>0</v>
      </c>
      <c r="C134" s="5">
        <f>-C20*C133</f>
        <v>0.5176380902050415</v>
      </c>
      <c r="D134" s="5">
        <f>-D20*D133</f>
        <v>0.9999999999999999</v>
      </c>
      <c r="E134" s="5">
        <f>-E20*E133</f>
        <v>1.414213562373095</v>
      </c>
      <c r="F134" s="5">
        <f>-F20*F133</f>
        <v>1.7320508075688772</v>
      </c>
      <c r="G134" s="5">
        <f>-G20*G133</f>
        <v>1.9318516525781366</v>
      </c>
      <c r="H134" s="5">
        <f>-H20*H133</f>
        <v>2</v>
      </c>
      <c r="I134" s="5">
        <f>-I20*I133</f>
        <v>1.9318516525781366</v>
      </c>
      <c r="J134" s="5">
        <f>-J20*J133</f>
        <v>1.7320508075688774</v>
      </c>
      <c r="K134" s="5">
        <f>-K20*K133</f>
        <v>1.4142135623730951</v>
      </c>
      <c r="L134" s="5">
        <f>-L20*L133</f>
        <v>0.9999999999999999</v>
      </c>
      <c r="M134" s="5">
        <f>-M20*M133</f>
        <v>0.517638090205042</v>
      </c>
      <c r="N134" s="5">
        <f>-N20*N133</f>
        <v>2.45029690981724E-16</v>
      </c>
      <c r="O134" s="5">
        <f>-O20*O133</f>
        <v>-0.5176380902050416</v>
      </c>
      <c r="P134" s="5">
        <f>-P20*P133</f>
        <v>-1.0000000000000002</v>
      </c>
      <c r="Q134" s="5">
        <f>-Q20*Q133</f>
        <v>-1.414213562373095</v>
      </c>
      <c r="R134" s="5">
        <f>-R20*R133</f>
        <v>-1.7320508075688767</v>
      </c>
      <c r="S134" s="5">
        <f>-S20*S133</f>
        <v>-1.9318516525781366</v>
      </c>
      <c r="T134" s="5">
        <f>-T20*T133</f>
        <v>-2</v>
      </c>
      <c r="U134" s="5">
        <f>-U20*U133</f>
        <v>-1.9318516525781368</v>
      </c>
      <c r="V134" s="5">
        <f>-V20*V133</f>
        <v>-1.7320508075688772</v>
      </c>
      <c r="W134" s="5">
        <f>-W20*W133</f>
        <v>-1.4142135623730954</v>
      </c>
      <c r="X134" s="5">
        <f>-X20*X133</f>
        <v>-1.0000000000000009</v>
      </c>
      <c r="Y134" s="5">
        <f>-Y20*Y133</f>
        <v>-0.5176380902050414</v>
      </c>
      <c r="Z134" s="5">
        <f>-Z20*Z133</f>
        <v>-4.90059381963448E-16</v>
      </c>
    </row>
    <row r="135" spans="1:26" s="108" customFormat="1" ht="12.75">
      <c r="A135" t="s">
        <v>110</v>
      </c>
      <c r="B135" s="5">
        <f>B20*B132</f>
        <v>-2</v>
      </c>
      <c r="C135" s="5">
        <f>C20*C132</f>
        <v>-1.9318516525781366</v>
      </c>
      <c r="D135" s="5">
        <f>D20*D132</f>
        <v>-1.7320508075688774</v>
      </c>
      <c r="E135" s="5">
        <f>E20*E132</f>
        <v>-1.4142135623730951</v>
      </c>
      <c r="F135" s="5">
        <f>F20*F132</f>
        <v>-1.0000000000000002</v>
      </c>
      <c r="G135" s="5">
        <f>G20*G132</f>
        <v>-0.5176380902050415</v>
      </c>
      <c r="H135" s="5">
        <f>H20*H132</f>
        <v>-1.22514845490862E-16</v>
      </c>
      <c r="I135" s="5">
        <f>I20*I132</f>
        <v>0.5176380902050417</v>
      </c>
      <c r="J135" s="5">
        <f>J20*J132</f>
        <v>0.9999999999999996</v>
      </c>
      <c r="K135" s="5">
        <f>K20*K132</f>
        <v>1.414213562373095</v>
      </c>
      <c r="L135" s="5">
        <f>L20*L132</f>
        <v>1.7320508075688774</v>
      </c>
      <c r="M135" s="5">
        <f>M20*M132</f>
        <v>1.9318516525781364</v>
      </c>
      <c r="N135" s="5">
        <f>N20*N132</f>
        <v>2</v>
      </c>
      <c r="O135" s="5">
        <f>O20*O132</f>
        <v>1.9318516525781366</v>
      </c>
      <c r="P135" s="5">
        <f>P20*P132</f>
        <v>1.7320508075688772</v>
      </c>
      <c r="Q135" s="5">
        <f>Q20*Q132</f>
        <v>1.4142135623730954</v>
      </c>
      <c r="R135" s="5">
        <f>R20*R132</f>
        <v>1.0000000000000009</v>
      </c>
      <c r="S135" s="5">
        <f>S20*S132</f>
        <v>0.5176380902050413</v>
      </c>
      <c r="T135" s="5">
        <f>T20*T132</f>
        <v>3.67544536472586E-16</v>
      </c>
      <c r="U135" s="5">
        <f>U20*U132</f>
        <v>-0.5176380902050406</v>
      </c>
      <c r="V135" s="5">
        <f>V20*V132</f>
        <v>-1.0000000000000002</v>
      </c>
      <c r="W135" s="5">
        <f>W20*W132</f>
        <v>-1.4142135623730947</v>
      </c>
      <c r="X135" s="5">
        <f>X20*X132</f>
        <v>-1.7320508075688767</v>
      </c>
      <c r="Y135" s="5">
        <f>Y20*Y132</f>
        <v>-1.9318516525781366</v>
      </c>
      <c r="Z135" s="5">
        <f>Z20*Z132</f>
        <v>-2</v>
      </c>
    </row>
    <row r="136" spans="1:26" s="108" customFormat="1" ht="12.75">
      <c r="A136" t="s">
        <v>111</v>
      </c>
      <c r="B136" s="5">
        <f>-B20*B135-$B$6*B133</f>
        <v>2</v>
      </c>
      <c r="C136" s="5">
        <f>-C20*C135-$B$6*C133</f>
        <v>1.9318516525781366</v>
      </c>
      <c r="D136" s="5">
        <f>-D20*D135-$B$6*D133</f>
        <v>1.7320508075688774</v>
      </c>
      <c r="E136" s="5">
        <f>-E20*E135-$B$6*E133</f>
        <v>1.4142135623730951</v>
      </c>
      <c r="F136" s="5">
        <f>-F20*F135-$B$6*F133</f>
        <v>1.0000000000000002</v>
      </c>
      <c r="G136" s="5">
        <f>-G20*G135-$B$6*G133</f>
        <v>0.5176380902050415</v>
      </c>
      <c r="H136" s="5">
        <f>-H20*H135-$B$6*H133</f>
        <v>1.22514845490862E-16</v>
      </c>
      <c r="I136" s="5">
        <f>-I20*I135-$B$6*I133</f>
        <v>-0.5176380902050417</v>
      </c>
      <c r="J136" s="5">
        <f>-J20*J135-$B$6*J133</f>
        <v>-0.9999999999999996</v>
      </c>
      <c r="K136" s="5">
        <f>-K20*K135-$B$6*K133</f>
        <v>-1.414213562373095</v>
      </c>
      <c r="L136" s="5">
        <f>-L20*L135-$B$6*L133</f>
        <v>-1.7320508075688774</v>
      </c>
      <c r="M136" s="5">
        <f>-M20*M135-$B$6*M133</f>
        <v>-1.9318516525781364</v>
      </c>
      <c r="N136" s="5">
        <f>-N20*N135-$B$6*N133</f>
        <v>-2</v>
      </c>
      <c r="O136" s="5">
        <f>-O20*O135-$B$6*O133</f>
        <v>-1.9318516525781366</v>
      </c>
      <c r="P136" s="5">
        <f>-P20*P135-$B$6*P133</f>
        <v>-1.7320508075688772</v>
      </c>
      <c r="Q136" s="5">
        <f>-Q20*Q135-$B$6*Q133</f>
        <v>-1.4142135623730954</v>
      </c>
      <c r="R136" s="5">
        <f>-R20*R135-$B$6*R133</f>
        <v>-1.0000000000000009</v>
      </c>
      <c r="S136" s="5">
        <f>-S20*S135-$B$6*S133</f>
        <v>-0.5176380902050413</v>
      </c>
      <c r="T136" s="5">
        <f>-T20*T135-$B$6*T133</f>
        <v>-3.67544536472586E-16</v>
      </c>
      <c r="U136" s="5">
        <f>-U20*U135-$B$6*U133</f>
        <v>0.5176380902050406</v>
      </c>
      <c r="V136" s="5">
        <f>-V20*V135-$B$6*V133</f>
        <v>1.0000000000000002</v>
      </c>
      <c r="W136" s="5">
        <f>-W20*W135-$B$6*W133</f>
        <v>1.4142135623730947</v>
      </c>
      <c r="X136" s="5">
        <f>-X20*X135-$B$6*X133</f>
        <v>1.7320508075688767</v>
      </c>
      <c r="Y136" s="5">
        <f>-Y20*Y135-$B$6*Y133</f>
        <v>1.9318516525781366</v>
      </c>
      <c r="Z136" s="5">
        <f>-Z20*Z135-$B$6*Z133</f>
        <v>2</v>
      </c>
    </row>
    <row r="137" spans="1:26" s="108" customFormat="1" ht="12.75">
      <c r="A137" t="s">
        <v>112</v>
      </c>
      <c r="B137" s="5">
        <f>B20*B134+$B$6*B133</f>
        <v>0</v>
      </c>
      <c r="C137" s="5">
        <f>C20*C134+$B$6*C133</f>
        <v>0.5176380902050415</v>
      </c>
      <c r="D137" s="5">
        <f>D20*D134+$B$6*D133</f>
        <v>0.9999999999999999</v>
      </c>
      <c r="E137" s="5">
        <f>E20*E134+$B$6*E133</f>
        <v>1.414213562373095</v>
      </c>
      <c r="F137" s="5">
        <f>F20*F134+$B$6*F133</f>
        <v>1.7320508075688772</v>
      </c>
      <c r="G137" s="5">
        <f>G20*G134+$B$6*G133</f>
        <v>1.9318516525781366</v>
      </c>
      <c r="H137" s="5">
        <f>H20*H134+$B$6*H133</f>
        <v>2</v>
      </c>
      <c r="I137" s="5">
        <f>I20*I134+$B$6*I133</f>
        <v>1.9318516525781366</v>
      </c>
      <c r="J137" s="5">
        <f>J20*J134+$B$6*J133</f>
        <v>1.7320508075688774</v>
      </c>
      <c r="K137" s="5">
        <f>K20*K134+$B$6*K133</f>
        <v>1.4142135623730951</v>
      </c>
      <c r="L137" s="5">
        <f>L20*L134+$B$6*L133</f>
        <v>0.9999999999999999</v>
      </c>
      <c r="M137" s="5">
        <f>M20*M134+$B$6*M133</f>
        <v>0.517638090205042</v>
      </c>
      <c r="N137" s="5">
        <f>N20*N134+$B$6*N133</f>
        <v>2.45029690981724E-16</v>
      </c>
      <c r="O137" s="5">
        <f>O20*O134+$B$6*O133</f>
        <v>-0.5176380902050416</v>
      </c>
      <c r="P137" s="5">
        <f>P20*P134+$B$6*P133</f>
        <v>-1.0000000000000002</v>
      </c>
      <c r="Q137" s="5">
        <f>Q20*Q134+$B$6*Q133</f>
        <v>-1.414213562373095</v>
      </c>
      <c r="R137" s="5">
        <f>R20*R134+$B$6*R133</f>
        <v>-1.7320508075688767</v>
      </c>
      <c r="S137" s="5">
        <f>S20*S134+$B$6*S133</f>
        <v>-1.9318516525781366</v>
      </c>
      <c r="T137" s="5">
        <f>T20*T134+$B$6*T133</f>
        <v>-2</v>
      </c>
      <c r="U137" s="5">
        <f>U20*U134+$B$6*U133</f>
        <v>-1.9318516525781368</v>
      </c>
      <c r="V137" s="5">
        <f>V20*V134+$B$6*V133</f>
        <v>-1.7320508075688772</v>
      </c>
      <c r="W137" s="5">
        <f>W20*W134+$B$6*W133</f>
        <v>-1.4142135623730954</v>
      </c>
      <c r="X137" s="5">
        <f>X20*X134+$B$6*X133</f>
        <v>-1.0000000000000009</v>
      </c>
      <c r="Y137" s="5">
        <f>Y20*Y134+$B$6*Y133</f>
        <v>-0.5176380902050414</v>
      </c>
      <c r="Z137" s="5">
        <f>Z20*Z134+$B$6*Z133</f>
        <v>-4.90059381963448E-16</v>
      </c>
    </row>
    <row r="138" spans="1:26" s="113" customFormat="1" ht="12.75">
      <c r="A138" s="27"/>
      <c r="B138" s="27"/>
      <c r="C138" s="27"/>
      <c r="D138" s="27"/>
      <c r="E138" s="96" t="s">
        <v>134</v>
      </c>
      <c r="F138" s="96"/>
      <c r="G138" s="96"/>
      <c r="H138" s="96"/>
      <c r="I138" s="96"/>
      <c r="J138" s="96"/>
      <c r="K138" s="9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56" ht="12.75">
      <c r="A139" t="s">
        <v>115</v>
      </c>
      <c r="B139" s="5">
        <f>B24+(($J$5-$D$5)*COS(B36-$B$36))-(($J$6-$D$6)*SIN(B36-$B$36))</f>
        <v>4</v>
      </c>
      <c r="C139" s="5">
        <f>C24+(($J$5-$D$5)*COS(C36-$B$36))-(($J$6-$D$6)*SIN(C36-$B$36))</f>
        <v>4.396985307502181</v>
      </c>
      <c r="D139" s="5">
        <f>D24+(($J$5-$D$5)*COS(D36-$B$36))-(($J$6-$D$6)*SIN(D36-$B$36))</f>
        <v>4.499700445345673</v>
      </c>
      <c r="E139" s="5">
        <f>E24+(($J$5-$D$5)*COS(E36-$B$36))-(($J$6-$D$6)*SIN(E36-$B$36))</f>
        <v>4.293549761046974</v>
      </c>
      <c r="F139" s="5">
        <f>F24+(($J$5-$D$5)*COS(F36-$B$36))-(($J$6-$D$6)*SIN(F36-$B$36))</f>
        <v>3.834019671640214</v>
      </c>
      <c r="G139" s="5">
        <f>G24+(($J$5-$D$5)*COS(G36-$B$36))-(($J$6-$D$6)*SIN(G36-$B$36))</f>
        <v>3.19550487394207</v>
      </c>
      <c r="H139" s="5">
        <f>H24+(($J$5-$D$5)*COS(H36-$B$36))-(($J$6-$D$6)*SIN(H36-$B$36))</f>
        <v>2.4502975405225014</v>
      </c>
      <c r="I139" s="5">
        <f>I24+(($J$5-$D$5)*COS(I36-$B$36))-(($J$6-$D$6)*SIN(I36-$B$36))</f>
        <v>1.664592632665173</v>
      </c>
      <c r="J139" s="5">
        <f>J24+(($J$5-$D$5)*COS(J36-$B$36))-(($J$6-$D$6)*SIN(J36-$B$36))</f>
        <v>0.8979004289541083</v>
      </c>
      <c r="K139" s="5">
        <f>K24+(($J$5-$D$5)*COS(K36-$B$36))-(($J$6-$D$6)*SIN(K36-$B$36))</f>
        <v>0.2020325857745835</v>
      </c>
      <c r="L139" s="5">
        <f>L24+(($J$5-$D$5)*COS(L36-$B$36))-(($J$6-$D$6)*SIN(L36-$B$36))</f>
        <v>-0.3804711365363316</v>
      </c>
      <c r="M139" s="5">
        <f>M24+(($J$5-$D$5)*COS(M36-$B$36))-(($J$6-$D$6)*SIN(M36-$B$36))</f>
        <v>-0.8179213909529164</v>
      </c>
      <c r="N139" s="5">
        <f>N24+(($J$5-$D$5)*COS(N36-$B$36))-(($J$6-$D$6)*SIN(N36-$B$36))</f>
        <v>-1.0905819148690876</v>
      </c>
      <c r="O139" s="5">
        <f>O24+(($J$5-$D$5)*COS(O36-$B$36))-(($J$6-$D$6)*SIN(O36-$B$36))</f>
        <v>-1.1910095555349038</v>
      </c>
      <c r="P139" s="5">
        <f>P24+(($J$5-$D$5)*COS(P36-$B$36))-(($J$6-$D$6)*SIN(P36-$B$36))</f>
        <v>-1.1235268220673764</v>
      </c>
      <c r="Q139" s="5">
        <f>Q24+(($J$5-$D$5)*COS(Q36-$B$36))-(($J$6-$D$6)*SIN(Q36-$B$36))</f>
        <v>-0.9028551067803445</v>
      </c>
      <c r="R139" s="5">
        <f>R24+(($J$5-$D$5)*COS(R36-$B$36))-(($J$6-$D$6)*SIN(R36-$B$36))</f>
        <v>-0.5519990477414318</v>
      </c>
      <c r="S139" s="5">
        <f>S24+(($J$5-$D$5)*COS(S36-$B$36))-(($J$6-$D$6)*SIN(S36-$B$36))</f>
        <v>-0.0994584922049635</v>
      </c>
      <c r="T139" s="5">
        <f>T24+(($J$5-$D$5)*COS(T36-$B$36))-(($J$6-$D$6)*SIN(T36-$B$36))</f>
        <v>0.424230690028492</v>
      </c>
      <c r="U139" s="5">
        <f>U24+(($J$5-$D$5)*COS(U36-$B$36))-(($J$6-$D$6)*SIN(U36-$B$36))</f>
        <v>0.9907167937608397</v>
      </c>
      <c r="V139" s="5">
        <f>V24+(($J$5-$D$5)*COS(V36-$B$36))-(($J$6-$D$6)*SIN(V36-$B$36))</f>
        <v>1.5788388674022382</v>
      </c>
      <c r="W139" s="5">
        <f>W24+(($J$5-$D$5)*COS(W36-$B$36))-(($J$6-$D$6)*SIN(W36-$B$36))</f>
        <v>2.179510062860169</v>
      </c>
      <c r="X139" s="5">
        <f>X24+(($J$5-$D$5)*COS(X36-$B$36))-(($J$6-$D$6)*SIN(X36-$B$36))</f>
        <v>2.7955371524196946</v>
      </c>
      <c r="Y139" s="5">
        <f>Y24+(($J$5-$D$5)*COS(Y36-$B$36))-(($J$6-$D$6)*SIN(Y36-$B$36))</f>
        <v>3.4222846486608347</v>
      </c>
      <c r="Z139" s="5">
        <f>Z24+(($J$5-$D$5)*COS(Z36-$B$36))-(($J$6-$D$6)*SIN(Z36-$B$36))</f>
        <v>4</v>
      </c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  <c r="IN139" s="108"/>
      <c r="IO139" s="108"/>
      <c r="IP139" s="108"/>
      <c r="IQ139" s="108"/>
      <c r="IR139" s="108"/>
      <c r="IS139" s="108"/>
      <c r="IT139" s="108"/>
      <c r="IU139" s="108"/>
      <c r="IV139" s="108"/>
    </row>
    <row r="140" spans="1:256" ht="12.75">
      <c r="A140" t="s">
        <v>116</v>
      </c>
      <c r="B140" s="5">
        <f>B25+($J$5-$D$5)*SIN(B36-$B$36)+($J$6-$D$6)*COS(B36-$B$36)</f>
        <v>3</v>
      </c>
      <c r="C140" s="5">
        <f>C25+($J$5-$D$5)*SIN(C36-$B$36)+($J$6-$D$6)*COS(C36-$B$36)</f>
        <v>3.5607660058461024</v>
      </c>
      <c r="D140" s="5">
        <f>D25+($J$5-$D$5)*SIN(D36-$B$36)+($J$6-$D$6)*COS(D36-$B$36)</f>
        <v>4.026623294575782</v>
      </c>
      <c r="E140" s="5">
        <f>E25+($J$5-$D$5)*SIN(E36-$B$36)+($J$6-$D$6)*COS(E36-$B$36)</f>
        <v>4.419454229520738</v>
      </c>
      <c r="F140" s="5">
        <f>F25+($J$5-$D$5)*SIN(F36-$B$36)+($J$6-$D$6)*COS(F36-$B$36)</f>
        <v>4.731700398598227</v>
      </c>
      <c r="G140" s="5">
        <f>G25+($J$5-$D$5)*SIN(G36-$B$36)+($J$6-$D$6)*COS(G36-$B$36)</f>
        <v>4.934492490401041</v>
      </c>
      <c r="H140" s="5">
        <f>H25+($J$5-$D$5)*SIN(H36-$B$36)+($J$6-$D$6)*COS(H36-$B$36)</f>
        <v>4.999010245824012</v>
      </c>
      <c r="I140" s="5">
        <f>I25+($J$5-$D$5)*SIN(I36-$B$36)+($J$6-$D$6)*COS(I36-$B$36)</f>
        <v>4.908070002426962</v>
      </c>
      <c r="J140" s="5">
        <f>J25+($J$5-$D$5)*SIN(J36-$B$36)+($J$6-$D$6)*COS(J36-$B$36)</f>
        <v>4.659646858413878</v>
      </c>
      <c r="K140" s="5">
        <f>K25+($J$5-$D$5)*SIN(K36-$B$36)+($J$6-$D$6)*COS(K36-$B$36)</f>
        <v>4.26655486821052</v>
      </c>
      <c r="L140" s="5">
        <f>L25+($J$5-$D$5)*SIN(L36-$B$36)+($J$6-$D$6)*COS(L36-$B$36)</f>
        <v>3.7543796779038696</v>
      </c>
      <c r="M140" s="5">
        <f>M25+($J$5-$D$5)*SIN(M36-$B$36)+($J$6-$D$6)*COS(M36-$B$36)</f>
        <v>3.158514786491907</v>
      </c>
      <c r="N140" s="5">
        <f>N25+($J$5-$D$5)*SIN(N36-$B$36)+($J$6-$D$6)*COS(N36-$B$36)</f>
        <v>2.5207384981737</v>
      </c>
      <c r="O140" s="5">
        <f>O25+($J$5-$D$5)*SIN(O36-$B$36)+($J$6-$D$6)*COS(O36-$B$36)</f>
        <v>1.8856742017763057</v>
      </c>
      <c r="P140" s="5">
        <f>P25+($J$5-$D$5)*SIN(P36-$B$36)+($J$6-$D$6)*COS(P36-$B$36)</f>
        <v>1.297445995646111</v>
      </c>
      <c r="Q140" s="5">
        <f>Q25+($J$5-$D$5)*SIN(Q36-$B$36)+($J$6-$D$6)*COS(Q36-$B$36)</f>
        <v>0.7967856289438187</v>
      </c>
      <c r="R140" s="5">
        <f>R25+($J$5-$D$5)*SIN(R36-$B$36)+($J$6-$D$6)*COS(R36-$B$36)</f>
        <v>0.4187589174723958</v>
      </c>
      <c r="S140" s="5">
        <f>S25+($J$5-$D$5)*SIN(S36-$B$36)+($J$6-$D$6)*COS(S36-$B$36)</f>
        <v>0.19118235208515655</v>
      </c>
      <c r="T140" s="5">
        <f>T25+($J$5-$D$5)*SIN(T36-$B$36)+($J$6-$D$6)*COS(T36-$B$36)</f>
        <v>0.13369244209414255</v>
      </c>
      <c r="U140" s="5">
        <f>U25+($J$5-$D$5)*SIN(U36-$B$36)+($J$6-$D$6)*COS(U36-$B$36)</f>
        <v>0.2572332657673493</v>
      </c>
      <c r="V140" s="5">
        <f>V25+($J$5-$D$5)*SIN(V36-$B$36)+($J$6-$D$6)*COS(V36-$B$36)</f>
        <v>0.5632185286205975</v>
      </c>
      <c r="W140" s="5">
        <f>W25+($J$5-$D$5)*SIN(W36-$B$36)+($J$6-$D$6)*COS(W36-$B$36)</f>
        <v>1.0404218908054113</v>
      </c>
      <c r="X140" s="5">
        <f>X25+($J$5-$D$5)*SIN(X36-$B$36)+($J$6-$D$6)*COS(X36-$B$36)</f>
        <v>1.6561066485074887</v>
      </c>
      <c r="Y140" s="5">
        <f>Y25+($J$5-$D$5)*SIN(Y36-$B$36)+($J$6-$D$6)*COS(Y36-$B$36)</f>
        <v>2.3420188111821774</v>
      </c>
      <c r="Z140" s="5">
        <f>Z25+($J$5-$D$5)*SIN(Z36-$B$36)+($J$6-$D$6)*COS(Z36-$B$36)</f>
        <v>2.999999999999999</v>
      </c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8"/>
      <c r="IS140" s="108"/>
      <c r="IT140" s="108"/>
      <c r="IU140" s="108"/>
      <c r="IV140" s="108"/>
    </row>
    <row r="141" spans="1:256" ht="12.75">
      <c r="A141" t="s">
        <v>117</v>
      </c>
      <c r="B141" s="5">
        <f>B26-B38*(B140-B25)</f>
        <v>1.956521739130435</v>
      </c>
      <c r="C141" s="5">
        <f>C26-C38*(C140-C25)</f>
        <v>0.9974338937930876</v>
      </c>
      <c r="D141" s="5">
        <f>D26-D38*(D140-D25)</f>
        <v>-0.21868952230145156</v>
      </c>
      <c r="E141" s="5">
        <f>E26-E38*(E140-E25)</f>
        <v>-1.3172459046830212</v>
      </c>
      <c r="F141" s="5">
        <f>F26-F38*(F140-F25)</f>
        <v>-2.1448427046591316</v>
      </c>
      <c r="G141" s="5">
        <f>G26-G38*(G140-G25)</f>
        <v>-2.686892236277921</v>
      </c>
      <c r="H141" s="5">
        <f>H26-H38*(H140-H25)</f>
        <v>-2.963917391518051</v>
      </c>
      <c r="I141" s="5">
        <f>I26-I38*(I140-I25)</f>
        <v>-3.0004735451666233</v>
      </c>
      <c r="J141" s="5">
        <f>J26-J38*(J140-J25)</f>
        <v>-2.8235331793911427</v>
      </c>
      <c r="K141" s="5">
        <f>K26-K38*(K140-K25)</f>
        <v>-2.465318948658956</v>
      </c>
      <c r="L141" s="5">
        <f>L26-L38*(L140-L25)</f>
        <v>-1.9644348570214265</v>
      </c>
      <c r="M141" s="5">
        <f>M26-M38*(M140-M25)</f>
        <v>-1.3648519000025454</v>
      </c>
      <c r="N141" s="5">
        <f>N26-N38*(N140-N25)</f>
        <v>-0.7134165560868966</v>
      </c>
      <c r="O141" s="5">
        <f>O26-O38*(O140-O25)</f>
        <v>-0.05663385616576355</v>
      </c>
      <c r="P141" s="5">
        <f>P26-P38*(P140-P25)</f>
        <v>0.5626565568350068</v>
      </c>
      <c r="Q141" s="5">
        <f>Q26-Q38*(Q140-Q25)</f>
        <v>1.108328413443337</v>
      </c>
      <c r="R141" s="5">
        <f>R26-R38*(R140-R25)</f>
        <v>1.553651597925754</v>
      </c>
      <c r="S141" s="5">
        <f>S26-S38*(S140-S25)</f>
        <v>1.88379632717559</v>
      </c>
      <c r="T141" s="5">
        <f>T26-T38*(T140-T25)</f>
        <v>2.09852202942701</v>
      </c>
      <c r="U141" s="5">
        <f>U26-U38*(U140-U25)</f>
        <v>2.2152966467954194</v>
      </c>
      <c r="V141" s="5">
        <f>V26-V38*(V140-V25)</f>
        <v>2.271722882773644</v>
      </c>
      <c r="W141" s="5">
        <f>W26-W38*(W140-W25)</f>
        <v>2.319876338029963</v>
      </c>
      <c r="X141" s="5">
        <f>X26-X38*(X140-X25)</f>
        <v>2.38677611521008</v>
      </c>
      <c r="Y141" s="5">
        <f>Y26-Y38*(Y140-Y25)</f>
        <v>2.365668101615678</v>
      </c>
      <c r="Z141" s="5">
        <f>Z26-Z38*(Z140-Z25)</f>
        <v>1.9565217391304357</v>
      </c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  <c r="GK141" s="108"/>
      <c r="GL141" s="108"/>
      <c r="GM141" s="108"/>
      <c r="GN141" s="108"/>
      <c r="GO141" s="108"/>
      <c r="GP141" s="108"/>
      <c r="GQ141" s="108"/>
      <c r="GR141" s="108"/>
      <c r="GS141" s="108"/>
      <c r="GT141" s="108"/>
      <c r="GU141" s="108"/>
      <c r="GV141" s="108"/>
      <c r="GW141" s="108"/>
      <c r="GX141" s="108"/>
      <c r="GY141" s="108"/>
      <c r="GZ141" s="108"/>
      <c r="HA141" s="108"/>
      <c r="HB141" s="108"/>
      <c r="HC141" s="108"/>
      <c r="HD141" s="108"/>
      <c r="HE141" s="108"/>
      <c r="HF141" s="108"/>
      <c r="HG141" s="108"/>
      <c r="HH141" s="108"/>
      <c r="HI141" s="108"/>
      <c r="HJ141" s="108"/>
      <c r="HK141" s="108"/>
      <c r="HL141" s="108"/>
      <c r="HM141" s="108"/>
      <c r="HN141" s="108"/>
      <c r="HO141" s="108"/>
      <c r="HP141" s="108"/>
      <c r="HQ141" s="108"/>
      <c r="HR141" s="108"/>
      <c r="HS141" s="108"/>
      <c r="HT141" s="108"/>
      <c r="HU141" s="108"/>
      <c r="HV141" s="108"/>
      <c r="HW141" s="108"/>
      <c r="HX141" s="108"/>
      <c r="HY141" s="108"/>
      <c r="HZ141" s="108"/>
      <c r="IA141" s="108"/>
      <c r="IB141" s="108"/>
      <c r="IC141" s="108"/>
      <c r="ID141" s="108"/>
      <c r="IE141" s="108"/>
      <c r="IF141" s="108"/>
      <c r="IG141" s="108"/>
      <c r="IH141" s="108"/>
      <c r="II141" s="108"/>
      <c r="IJ141" s="108"/>
      <c r="IK141" s="108"/>
      <c r="IL141" s="108"/>
      <c r="IM141" s="108"/>
      <c r="IN141" s="108"/>
      <c r="IO141" s="108"/>
      <c r="IP141" s="108"/>
      <c r="IQ141" s="108"/>
      <c r="IR141" s="108"/>
      <c r="IS141" s="108"/>
      <c r="IT141" s="108"/>
      <c r="IU141" s="108"/>
      <c r="IV141" s="108"/>
    </row>
    <row r="142" spans="1:256" ht="12.75">
      <c r="A142" t="s">
        <v>118</v>
      </c>
      <c r="B142" s="5">
        <f>B27+B38*(B139-B24)</f>
        <v>2.3478260869565215</v>
      </c>
      <c r="C142" s="5">
        <f>C27+C38*(C139-C24)</f>
        <v>1.9426279456695243</v>
      </c>
      <c r="D142" s="5">
        <f>D27+D38*(D139-D24)</f>
        <v>1.6337175509662396</v>
      </c>
      <c r="E142" s="5">
        <f>E27+E38*(E139-E24)</f>
        <v>1.3612975439101955</v>
      </c>
      <c r="F142" s="5">
        <f>F27+F38*(F139-F24)</f>
        <v>1.0041976338688392</v>
      </c>
      <c r="G142" s="5">
        <f>G27+G38*(G139-G24)</f>
        <v>0.5259844543934009</v>
      </c>
      <c r="H142" s="5">
        <f>H27+H38*(H139-H24)</f>
        <v>-0.04422845105654339</v>
      </c>
      <c r="I142" s="5">
        <f>I27+I38*(I139-I24)</f>
        <v>-0.6517557767371189</v>
      </c>
      <c r="J142" s="5">
        <f>J27+J38*(J139-J24)</f>
        <v>-1.2377614193627406</v>
      </c>
      <c r="K142" s="5">
        <f>K27+K38*(K139-K24)</f>
        <v>-1.74875960129094</v>
      </c>
      <c r="L142" s="5">
        <f>L27+L38*(L139-L24)</f>
        <v>-2.1412174550633143</v>
      </c>
      <c r="M142" s="5">
        <f>M27+M38*(M139-M24)</f>
        <v>-2.384029865395591</v>
      </c>
      <c r="N142" s="5">
        <f>N27+N38*(N139-N24)</f>
        <v>-2.4595986551516287</v>
      </c>
      <c r="O142" s="5">
        <f>O27+O38*(O139-O24)</f>
        <v>-2.363659209923594</v>
      </c>
      <c r="P142" s="5">
        <f>P27+P38*(P139-P24)</f>
        <v>-2.103997253682181</v>
      </c>
      <c r="Q142" s="5">
        <f>Q27+Q38*(Q139-Q24)</f>
        <v>-1.6983420612028262</v>
      </c>
      <c r="R142" s="5">
        <f>R27+R38*(R139-R24)</f>
        <v>-1.1718032355725683</v>
      </c>
      <c r="S142" s="5">
        <f>S27+S38*(S139-S24)</f>
        <v>-0.5542257365861389</v>
      </c>
      <c r="T142" s="5">
        <f>T27+T38*(T139-T24)</f>
        <v>0.12203961574674971</v>
      </c>
      <c r="U142" s="5">
        <f>U27+U38*(U139-U24)</f>
        <v>0.8228050313422376</v>
      </c>
      <c r="V142" s="5">
        <f>V27+V38*(V139-V24)</f>
        <v>1.5081388573083145</v>
      </c>
      <c r="W142" s="5">
        <f>W27+W38*(W139-W24)</f>
        <v>2.117666055282095</v>
      </c>
      <c r="X142" s="5">
        <f>X27+X38*(X139-X24)</f>
        <v>2.5425953085430835</v>
      </c>
      <c r="Y142" s="5">
        <f>Y27+Y38*(Y139-Y24)</f>
        <v>2.6304826334214533</v>
      </c>
      <c r="Z142" s="5">
        <f>Z27+Z38*(Z139-Z24)</f>
        <v>2.3478260869565215</v>
      </c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  <c r="IP142" s="108"/>
      <c r="IQ142" s="108"/>
      <c r="IR142" s="108"/>
      <c r="IS142" s="108"/>
      <c r="IT142" s="108"/>
      <c r="IU142" s="108"/>
      <c r="IV142" s="108"/>
    </row>
    <row r="143" spans="1:256" ht="12.75">
      <c r="A143" t="s">
        <v>119</v>
      </c>
      <c r="B143" s="5">
        <f>B28-B42*(B140-B25)-B38*(B142-B27)</f>
        <v>-2.6613712772184575</v>
      </c>
      <c r="C143" s="5">
        <f>C28-C42*(C140-C25)-C38*(C142-C27)</f>
        <v>-4.440111741268729</v>
      </c>
      <c r="D143" s="5">
        <f>D28-D42*(D140-D25)-D38*(D142-D27)</f>
        <v>-4.591677016854755</v>
      </c>
      <c r="E143" s="5">
        <f>E28-E42*(E140-E25)-E38*(E142-E27)</f>
        <v>-3.713313063711203</v>
      </c>
      <c r="F143" s="5">
        <f>F28-F42*(F140-F25)-F38*(F142-F27)</f>
        <v>-2.6064757240613865</v>
      </c>
      <c r="G143" s="5">
        <f>G28-G42*(G140-G25)-G38*(G142-G27)</f>
        <v>-1.5489751332148327</v>
      </c>
      <c r="H143" s="5">
        <f>H28-H42*(H140-H25)-H38*(H142-H27)</f>
        <v>-0.5828836706062347</v>
      </c>
      <c r="I143" s="5">
        <f>I28-I42*(I140-I25)-I38*(I142-I27)</f>
        <v>0.28666073893579974</v>
      </c>
      <c r="J143" s="5">
        <f>J28-J42*(J140-J25)-J38*(J142-J27)</f>
        <v>1.0446214673384733</v>
      </c>
      <c r="K143" s="5">
        <f>K28-K42*(K140-K25)-K38*(K142-K27)</f>
        <v>1.667285996124706</v>
      </c>
      <c r="L143" s="5">
        <f>L28-L42*(L140-L25)-L38*(L142-L27)</f>
        <v>2.131028141122857</v>
      </c>
      <c r="M143" s="5">
        <f>M28-M42*(M140-M25)-M38*(M142-M27)</f>
        <v>2.4194142742507196</v>
      </c>
      <c r="N143" s="5">
        <f>N28-N42*(N140-N25)-N38*(N142-N27)</f>
        <v>2.5273639527489604</v>
      </c>
      <c r="O143" s="5">
        <f>O28-O42*(O140-O25)-O38*(O142-O27)</f>
        <v>2.4626188980396684</v>
      </c>
      <c r="P143" s="5">
        <f>P28-P42*(P140-P25)-P38*(P142-P27)</f>
        <v>2.245243713971367</v>
      </c>
      <c r="Q143" s="5">
        <f>Q28-Q42*(Q140-Q25)-Q38*(Q142-Q27)</f>
        <v>1.9062094689726106</v>
      </c>
      <c r="R143" s="5">
        <f>R28-R42*(R140-R25)-R38*(R142-R27)</f>
        <v>1.486200455259995</v>
      </c>
      <c r="S143" s="5">
        <f>S28-S42*(S140-S25)-S38*(S142-S27)</f>
        <v>1.0355632762949574</v>
      </c>
      <c r="T143" s="5">
        <f>T28-T42*(T140-T25)-T38*(T142-T27)</f>
        <v>0.6157384758990324</v>
      </c>
      <c r="U143" s="5">
        <f>U28-U42*(U140-U25)-U38*(U142-U27)</f>
        <v>0.3004439525167756</v>
      </c>
      <c r="V143" s="5">
        <f>V28-V42*(V140-V25)-V38*(V142-V27)</f>
        <v>0.1657803865051604</v>
      </c>
      <c r="W143" s="5">
        <f>W28-W42*(W140-W25)-W38*(W142-W27)</f>
        <v>0.22659696037188698</v>
      </c>
      <c r="X143" s="5">
        <f>X28-X42*(X140-X25)-X38*(X142-X27)</f>
        <v>0.22544074077212506</v>
      </c>
      <c r="Y143" s="5">
        <f>Y28-Y42*(Y140-Y25)-Y38*(Y142-Y27)</f>
        <v>-0.6014033547373465</v>
      </c>
      <c r="Z143" s="5">
        <f>Z28-Z42*(Z140-Z25)-Z38*(Z142-Z27)</f>
        <v>-2.6613712772184575</v>
      </c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  <c r="IP143" s="108"/>
      <c r="IQ143" s="108"/>
      <c r="IR143" s="108"/>
      <c r="IS143" s="108"/>
      <c r="IT143" s="108"/>
      <c r="IU143" s="108"/>
      <c r="IV143" s="108"/>
    </row>
    <row r="144" spans="1:256" ht="12.75">
      <c r="A144" t="s">
        <v>120</v>
      </c>
      <c r="B144" s="5">
        <f>B29+B42*(B139-B24)+B38*(B141-B26)</f>
        <v>-1.530645617108656</v>
      </c>
      <c r="C144" s="5">
        <f>C29+C42*(C139-C24)+C38*(C141-C26)</f>
        <v>-1.4038014762352782</v>
      </c>
      <c r="D144" s="5">
        <f>D29+D42*(D139-D24)+D38*(D141-D26)</f>
        <v>-1.0174051307362353</v>
      </c>
      <c r="E144" s="5">
        <f>E29+E42*(E139-E24)+E38*(E141-E26)</f>
        <v>-1.149225952739204</v>
      </c>
      <c r="F144" s="5">
        <f>F29+F42*(F139-F24)+F38*(F141-F26)</f>
        <v>-1.59916763080702</v>
      </c>
      <c r="G144" s="5">
        <f>G29+G42*(G139-G24)+G38*(G141-G26)</f>
        <v>-2.0328804478686653</v>
      </c>
      <c r="H144" s="5">
        <f>H29+H42*(H139-H24)+H38*(H141-H26)</f>
        <v>-2.2871570733785456</v>
      </c>
      <c r="I144" s="5">
        <f>I29+I42*(I139-I24)+I38*(I141-I26)</f>
        <v>-2.316011166179767</v>
      </c>
      <c r="J144" s="5">
        <f>J29+J42*(J139-J24)+J38*(J141-J26)</f>
        <v>-2.1264200677326666</v>
      </c>
      <c r="K144" s="5">
        <f>K29+K42*(K139-K24)+K38*(K141-K26)</f>
        <v>-1.749451685389944</v>
      </c>
      <c r="L144" s="5">
        <f>L29+L42*(L139-L24)+L38*(L141-L26)</f>
        <v>-1.2288351571375136</v>
      </c>
      <c r="M144" s="5">
        <f>M29+M42*(M139-M24)+M38*(M141-M26)</f>
        <v>-0.6149238434091777</v>
      </c>
      <c r="N144" s="5">
        <f>N29+N42*(N139-N24)+N38*(N141-N26)</f>
        <v>0.040251307450819646</v>
      </c>
      <c r="O144" s="5">
        <f>O29+O42*(O139-O24)+O38*(O141-O26)</f>
        <v>0.6875778923197741</v>
      </c>
      <c r="P144" s="5">
        <f>P29+P42*(P139-P24)+P38*(P141-P26)</f>
        <v>1.2846400594468435</v>
      </c>
      <c r="Q144" s="5">
        <f>Q29+Q42*(Q139-Q24)+Q38*(Q141-Q26)</f>
        <v>1.798179866834659</v>
      </c>
      <c r="R144" s="5">
        <f>R29+R42*(R139-R24)+R38*(R141-R26)</f>
        <v>2.205130008747567</v>
      </c>
      <c r="S144" s="5">
        <f>S29+S42*(S139-S24)+S38*(S141-S26)</f>
        <v>2.4921525614187807</v>
      </c>
      <c r="T144" s="5">
        <f>T29+T42*(T139-T24)+T38*(T141-T26)</f>
        <v>2.6525595993012767</v>
      </c>
      <c r="U144" s="5">
        <f>U29+U42*(U139-U24)+U38*(U141-U26)</f>
        <v>2.676331427038189</v>
      </c>
      <c r="V144" s="5">
        <f>V29+V42*(V139-V24)+V38*(V141-V26)</f>
        <v>2.522821926430738</v>
      </c>
      <c r="W144" s="5">
        <f>W29+W42*(W139-W24)+W38*(W141-W26)</f>
        <v>2.065635068616635</v>
      </c>
      <c r="X144" s="5">
        <f>X29+X42*(X139-X24)+X38*(X141-X26)</f>
        <v>1.0732133056390027</v>
      </c>
      <c r="Y144" s="5">
        <f>Y29+Y42*(Y139-Y24)+Y38*(Y141-Y26)</f>
        <v>-0.4425686925971298</v>
      </c>
      <c r="Z144" s="5">
        <f>Z29+Z42*(Z139-Z24)+Z38*(Z141-Z26)</f>
        <v>-1.530645617108655</v>
      </c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</row>
    <row r="145" spans="1:26" s="113" customFormat="1" ht="12.75">
      <c r="A145" s="29"/>
      <c r="B145" s="29"/>
      <c r="C145" s="29"/>
      <c r="D145" s="97" t="s">
        <v>293</v>
      </c>
      <c r="E145" s="97"/>
      <c r="F145" s="97"/>
      <c r="G145" s="97"/>
      <c r="H145" s="97"/>
      <c r="I145" s="97"/>
      <c r="J145" s="97"/>
      <c r="K145" s="97"/>
      <c r="L145" s="97"/>
      <c r="M145" s="97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56" ht="12.75">
      <c r="A146" t="s">
        <v>135</v>
      </c>
      <c r="B146" s="28">
        <f>$D$3+($J$7-$D$3)*COS(B62-$B$62)-($J$8-$D$4)*SIN(B62-$B$62)</f>
        <v>8.5</v>
      </c>
      <c r="C146" s="28">
        <f>$D$3+($J$7-$D$3)*COS(C62-$B$62)-($J$8-$D$4)*SIN(C62-$B$62)</f>
        <v>8.643689594544542</v>
      </c>
      <c r="D146" s="28">
        <f>$D$3+($J$7-$D$3)*COS(D62-$B$62)-($J$8-$D$4)*SIN(D62-$B$62)</f>
        <v>8.726292662323832</v>
      </c>
      <c r="E146" s="28">
        <f>$D$3+($J$7-$D$3)*COS(E62-$B$62)-($J$8-$D$4)*SIN(E62-$B$62)</f>
        <v>8.757624785661958</v>
      </c>
      <c r="F146" s="28">
        <f>$D$3+($J$7-$D$3)*COS(F62-$B$62)-($J$8-$D$4)*SIN(F62-$B$62)</f>
        <v>8.75312289163588</v>
      </c>
      <c r="G146" s="28">
        <f>$D$3+($J$7-$D$3)*COS(G62-$B$62)-($J$8-$D$4)*SIN(G62-$B$62)</f>
        <v>8.722359447239597</v>
      </c>
      <c r="H146" s="28">
        <f>$D$3+($J$7-$D$3)*COS(H62-$B$62)-($J$8-$D$4)*SIN(H62-$B$62)</f>
        <v>8.670377758668849</v>
      </c>
      <c r="I146" s="28">
        <f>$D$3+($J$7-$D$3)*COS(I62-$B$62)-($J$8-$D$4)*SIN(I62-$B$62)</f>
        <v>8.600745422400829</v>
      </c>
      <c r="J146" s="28">
        <f>$D$3+($J$7-$D$3)*COS(J62-$B$62)-($J$8-$D$4)*SIN(J62-$B$62)</f>
        <v>8.517148797691213</v>
      </c>
      <c r="K146" s="28">
        <f>$D$3+($J$7-$D$3)*COS(K62-$B$62)-($J$8-$D$4)*SIN(K62-$B$62)</f>
        <v>8.423821510102629</v>
      </c>
      <c r="L146" s="28">
        <f>$D$3+($J$7-$D$3)*COS(L62-$B$62)-($J$8-$D$4)*SIN(L62-$B$62)</f>
        <v>8.325399646639013</v>
      </c>
      <c r="M146" s="28">
        <f>$D$3+($J$7-$D$3)*COS(M62-$B$62)-($J$8-$D$4)*SIN(M62-$B$62)</f>
        <v>8.226567330821249</v>
      </c>
      <c r="N146" s="28">
        <f>$D$3+($J$7-$D$3)*COS(N62-$B$62)-($J$8-$D$4)*SIN(N62-$B$62)</f>
        <v>8.131695446446777</v>
      </c>
      <c r="O146" s="28">
        <f>$D$3+($J$7-$D$3)*COS(O62-$B$62)-($J$8-$D$4)*SIN(O62-$B$62)</f>
        <v>8.044591552476207</v>
      </c>
      <c r="P146" s="28">
        <f>$D$3+($J$7-$D$3)*COS(P62-$B$62)-($J$8-$D$4)*SIN(P62-$B$62)</f>
        <v>7.968423415112866</v>
      </c>
      <c r="Q146" s="28">
        <f>$D$3+($J$7-$D$3)*COS(Q62-$B$62)-($J$8-$D$4)*SIN(Q62-$B$62)</f>
        <v>7.905832658960637</v>
      </c>
      <c r="R146" s="28">
        <f>$D$3+($J$7-$D$3)*COS(R62-$B$62)-($J$8-$D$4)*SIN(R62-$B$62)</f>
        <v>7.859222049332046</v>
      </c>
      <c r="S146" s="28">
        <f>$D$3+($J$7-$D$3)*COS(S62-$B$62)-($J$8-$D$4)*SIN(S62-$B$62)</f>
        <v>7.831187782442837</v>
      </c>
      <c r="T146" s="28">
        <f>$D$3+($J$7-$D$3)*COS(T62-$B$62)-($J$8-$D$4)*SIN(T62-$B$62)</f>
        <v>7.8250713074451586</v>
      </c>
      <c r="U146" s="28">
        <f>$D$3+($J$7-$D$3)*COS(U62-$B$62)-($J$8-$D$4)*SIN(U62-$B$62)</f>
        <v>7.845584529154273</v>
      </c>
      <c r="V146" s="28">
        <f>$D$3+($J$7-$D$3)*COS(V62-$B$62)-($J$8-$D$4)*SIN(V62-$B$62)</f>
        <v>7.899296818236173</v>
      </c>
      <c r="W146" s="28">
        <f>$D$3+($J$7-$D$3)*COS(W62-$B$62)-($J$8-$D$4)*SIN(W62-$B$62)</f>
        <v>7.994141360133266</v>
      </c>
      <c r="X146" s="28">
        <f>$D$3+($J$7-$D$3)*COS(X62-$B$62)-($J$8-$D$4)*SIN(X62-$B$62)</f>
        <v>8.135509529854646</v>
      </c>
      <c r="Y146" s="28">
        <f>$D$3+($J$7-$D$3)*COS(Y62-$B$62)-($J$8-$D$4)*SIN(Y62-$B$62)</f>
        <v>8.315360638085915</v>
      </c>
      <c r="Z146" s="28">
        <f>$D$3+($J$7-$D$3)*COS(Z62-$B$62)-($J$8-$D$4)*SIN(Z62-$B$62)</f>
        <v>8.5</v>
      </c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  <c r="GL146" s="114"/>
      <c r="GM146" s="114"/>
      <c r="GN146" s="114"/>
      <c r="GO146" s="114"/>
      <c r="GP146" s="114"/>
      <c r="GQ146" s="114"/>
      <c r="GR146" s="114"/>
      <c r="GS146" s="114"/>
      <c r="GT146" s="114"/>
      <c r="GU146" s="114"/>
      <c r="GV146" s="114"/>
      <c r="GW146" s="114"/>
      <c r="GX146" s="114"/>
      <c r="GY146" s="114"/>
      <c r="GZ146" s="114"/>
      <c r="HA146" s="114"/>
      <c r="HB146" s="114"/>
      <c r="HC146" s="114"/>
      <c r="HD146" s="114"/>
      <c r="HE146" s="114"/>
      <c r="HF146" s="114"/>
      <c r="HG146" s="114"/>
      <c r="HH146" s="114"/>
      <c r="HI146" s="114"/>
      <c r="HJ146" s="114"/>
      <c r="HK146" s="114"/>
      <c r="HL146" s="114"/>
      <c r="HM146" s="114"/>
      <c r="HN146" s="114"/>
      <c r="HO146" s="114"/>
      <c r="HP146" s="114"/>
      <c r="HQ146" s="114"/>
      <c r="HR146" s="114"/>
      <c r="HS146" s="114"/>
      <c r="HT146" s="114"/>
      <c r="HU146" s="114"/>
      <c r="HV146" s="114"/>
      <c r="HW146" s="114"/>
      <c r="HX146" s="114"/>
      <c r="HY146" s="114"/>
      <c r="HZ146" s="114"/>
      <c r="IA146" s="114"/>
      <c r="IB146" s="114"/>
      <c r="IC146" s="114"/>
      <c r="ID146" s="114"/>
      <c r="IE146" s="114"/>
      <c r="IF146" s="114"/>
      <c r="IG146" s="114"/>
      <c r="IH146" s="114"/>
      <c r="II146" s="114"/>
      <c r="IJ146" s="114"/>
      <c r="IK146" s="114"/>
      <c r="IL146" s="114"/>
      <c r="IM146" s="114"/>
      <c r="IN146" s="114"/>
      <c r="IO146" s="114"/>
      <c r="IP146" s="114"/>
      <c r="IQ146" s="114"/>
      <c r="IR146" s="114"/>
      <c r="IS146" s="114"/>
      <c r="IT146" s="114"/>
      <c r="IU146" s="114"/>
      <c r="IV146" s="114"/>
    </row>
    <row r="147" spans="1:256" ht="12.75">
      <c r="A147" t="s">
        <v>136</v>
      </c>
      <c r="B147" s="28">
        <f>$D$4+($J$7-$D$3)*SIN(B62-$B$62)+($J$8-$D$4)*COS(B62-$B$62)</f>
        <v>1</v>
      </c>
      <c r="C147" s="28">
        <f>$D$4+($J$7-$D$3)*SIN(C62-$B$62)+($J$8-$D$4)*COS(C62-$B$62)</f>
        <v>0.848947601586488</v>
      </c>
      <c r="D147" s="28">
        <f>$D$4+($J$7-$D$3)*SIN(D62-$B$62)+($J$8-$D$4)*COS(D62-$B$62)</f>
        <v>0.7358429443811327</v>
      </c>
      <c r="E147" s="28">
        <f>$D$4+($J$7-$D$3)*SIN(E62-$B$62)+($J$8-$D$4)*COS(E62-$B$62)</f>
        <v>0.6854960653578557</v>
      </c>
      <c r="F147" s="28">
        <f>$D$4+($J$7-$D$3)*SIN(F62-$B$62)+($J$8-$D$4)*COS(F62-$B$62)</f>
        <v>0.6930422763333496</v>
      </c>
      <c r="G147" s="28">
        <f>$D$4+($J$7-$D$3)*SIN(G62-$B$62)+($J$8-$D$4)*COS(G62-$B$62)</f>
        <v>0.7418283300009689</v>
      </c>
      <c r="H147" s="28">
        <f>$D$4+($J$7-$D$3)*SIN(H62-$B$62)+($J$8-$D$4)*COS(H62-$B$62)</f>
        <v>0.8150407681503118</v>
      </c>
      <c r="I147" s="28">
        <f>$D$4+($J$7-$D$3)*SIN(I62-$B$62)+($J$8-$D$4)*COS(I62-$B$62)</f>
        <v>0.8991710624479567</v>
      </c>
      <c r="J147" s="28">
        <f>$D$4+($J$7-$D$3)*SIN(J62-$B$62)+($J$8-$D$4)*COS(J62-$B$62)</f>
        <v>0.9842957293890696</v>
      </c>
      <c r="K147" s="28">
        <f>$D$4+($J$7-$D$3)*SIN(K62-$B$62)+($J$8-$D$4)*COS(K62-$B$62)</f>
        <v>1.0636343918340667</v>
      </c>
      <c r="L147" s="28">
        <f>$D$4+($J$7-$D$3)*SIN(L62-$B$62)+($J$8-$D$4)*COS(L62-$B$62)</f>
        <v>1.133046933121481</v>
      </c>
      <c r="M147" s="28">
        <f>$D$4+($J$7-$D$3)*SIN(M62-$B$62)+($J$8-$D$4)*COS(M62-$B$62)</f>
        <v>1.1905517124205633</v>
      </c>
      <c r="N147" s="28">
        <f>$D$4+($J$7-$D$3)*SIN(N62-$B$62)+($J$8-$D$4)*COS(N62-$B$62)</f>
        <v>1.235839776114914</v>
      </c>
      <c r="O147" s="28">
        <f>$D$4+($J$7-$D$3)*SIN(O62-$B$62)+($J$8-$D$4)*COS(O62-$B$62)</f>
        <v>1.2697788592769987</v>
      </c>
      <c r="P147" s="28">
        <f>$D$4+($J$7-$D$3)*SIN(P62-$B$62)+($J$8-$D$4)*COS(P62-$B$62)</f>
        <v>1.2939336100420968</v>
      </c>
      <c r="Q147" s="28">
        <f>$D$4+($J$7-$D$3)*SIN(Q62-$B$62)+($J$8-$D$4)*COS(Q62-$B$62)</f>
        <v>1.3101398340303476</v>
      </c>
      <c r="R147" s="28">
        <f>$D$4+($J$7-$D$3)*SIN(R62-$B$62)+($J$8-$D$4)*COS(R62-$B$62)</f>
        <v>1.320152994595738</v>
      </c>
      <c r="S147" s="28">
        <f>$D$4+($J$7-$D$3)*SIN(S62-$B$62)+($J$8-$D$4)*COS(S62-$B$62)</f>
        <v>1.325349844097461</v>
      </c>
      <c r="T147" s="28">
        <f>$D$4+($J$7-$D$3)*SIN(T62-$B$62)+($J$8-$D$4)*COS(T62-$B$62)</f>
        <v>1.3264022416163683</v>
      </c>
      <c r="U147" s="28">
        <f>$D$4+($J$7-$D$3)*SIN(U62-$B$62)+($J$8-$D$4)*COS(U62-$B$62)</f>
        <v>1.3227578157168738</v>
      </c>
      <c r="V147" s="28">
        <f>$D$4+($J$7-$D$3)*SIN(V62-$B$62)+($J$8-$D$4)*COS(V62-$B$62)</f>
        <v>1.3116483578283105</v>
      </c>
      <c r="W147" s="28">
        <f>$D$4+($J$7-$D$3)*SIN(W62-$B$62)+($J$8-$D$4)*COS(W62-$B$62)</f>
        <v>1.2863330005221427</v>
      </c>
      <c r="X147" s="28">
        <f>$D$4+($J$7-$D$3)*SIN(X62-$B$62)+($J$8-$D$4)*COS(X62-$B$62)</f>
        <v>1.2341918584380862</v>
      </c>
      <c r="Y147" s="28">
        <f>$D$4+($J$7-$D$3)*SIN(Y62-$B$62)+($J$8-$D$4)*COS(Y62-$B$62)</f>
        <v>1.1394117594080344</v>
      </c>
      <c r="Z147" s="28">
        <f>$D$4+($J$7-$D$3)*SIN(Z62-$B$62)+($J$8-$D$4)*COS(Z62-$B$62)</f>
        <v>1</v>
      </c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114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114"/>
      <c r="IB147" s="114"/>
      <c r="IC147" s="114"/>
      <c r="ID147" s="114"/>
      <c r="IE147" s="114"/>
      <c r="IF147" s="114"/>
      <c r="IG147" s="114"/>
      <c r="IH147" s="114"/>
      <c r="II147" s="114"/>
      <c r="IJ147" s="114"/>
      <c r="IK147" s="114"/>
      <c r="IL147" s="114"/>
      <c r="IM147" s="114"/>
      <c r="IN147" s="114"/>
      <c r="IO147" s="114"/>
      <c r="IP147" s="114"/>
      <c r="IQ147" s="114"/>
      <c r="IR147" s="114"/>
      <c r="IS147" s="114"/>
      <c r="IT147" s="114"/>
      <c r="IU147" s="114"/>
      <c r="IV147" s="114"/>
    </row>
    <row r="148" spans="1:256" ht="12.75">
      <c r="A148" t="s">
        <v>140</v>
      </c>
      <c r="B148" s="28">
        <f>-B39*(B147-$D$4)</f>
        <v>0.6521739130434784</v>
      </c>
      <c r="C148" s="28">
        <f>-C39*(C147-$D$4)</f>
        <v>0.4326333957396327</v>
      </c>
      <c r="D148" s="28">
        <f>-D39*(D147-$D$4)</f>
        <v>0.20675091823390226</v>
      </c>
      <c r="E148" s="28">
        <f>-E39*(E147-$D$4)</f>
        <v>0.04304884550145952</v>
      </c>
      <c r="F148" s="28">
        <f>-F39*(F147-$D$4)</f>
        <v>-0.07154557620580722</v>
      </c>
      <c r="G148" s="28">
        <f>-G39*(G147-$D$4)</f>
        <v>-0.16046969626790514</v>
      </c>
      <c r="H148" s="28">
        <f>-H39*(H147-$D$4)</f>
        <v>-0.23446503164662533</v>
      </c>
      <c r="I148" s="28">
        <f>-I39*(I147-$D$4)</f>
        <v>-0.29516165938216554</v>
      </c>
      <c r="J148" s="28">
        <f>-J39*(J147-$D$4)</f>
        <v>-0.3407619716579379</v>
      </c>
      <c r="K148" s="28">
        <f>-K39*(K147-$D$4)</f>
        <v>-0.36923026979644613</v>
      </c>
      <c r="L148" s="28">
        <f>-L39*(L147-$D$4)</f>
        <v>-0.3796513374029686</v>
      </c>
      <c r="M148" s="28">
        <f>-M39*(M147-$D$4)</f>
        <v>-0.37257286771853454</v>
      </c>
      <c r="N148" s="28">
        <f>-N39*(N147-$D$4)</f>
        <v>-0.34976597437214546</v>
      </c>
      <c r="O148" s="28">
        <f>-O39*(O147-$D$4)</f>
        <v>-0.3136495175704431</v>
      </c>
      <c r="P148" s="28">
        <f>-P39*(P147-$D$4)</f>
        <v>-0.2665690598018002</v>
      </c>
      <c r="Q148" s="28">
        <f>-Q39*(Q147-$D$4)</f>
        <v>-0.2100871817102759</v>
      </c>
      <c r="R148" s="28">
        <f>-R39*(R147-$D$4)</f>
        <v>-0.1443742381237296</v>
      </c>
      <c r="S148" s="28">
        <f>-S39*(S147-$D$4)</f>
        <v>-0.06770567659394186</v>
      </c>
      <c r="T148" s="28">
        <f>-T39*(T147-$D$4)</f>
        <v>0.023941874672130152</v>
      </c>
      <c r="U148" s="28">
        <f>-U39*(U147-$D$4)</f>
        <v>0.13696079288198923</v>
      </c>
      <c r="V148" s="28">
        <f>-V39*(V147-$D$4)</f>
        <v>0.27862591187430846</v>
      </c>
      <c r="W148" s="28">
        <f>-W39*(W147-$D$4)</f>
        <v>0.45006406803438587</v>
      </c>
      <c r="X148" s="28">
        <f>-X39*(X147-$D$4)</f>
        <v>0.6258879046599128</v>
      </c>
      <c r="Y148" s="28">
        <f>-Y39*(Y147-$D$4)</f>
        <v>0.7259224433942777</v>
      </c>
      <c r="Z148" s="28">
        <f>-Z39*(Z147-$D$4)</f>
        <v>0.6521739130434786</v>
      </c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  <c r="GL148" s="114"/>
      <c r="GM148" s="114"/>
      <c r="GN148" s="114"/>
      <c r="GO148" s="114"/>
      <c r="GP148" s="114"/>
      <c r="GQ148" s="114"/>
      <c r="GR148" s="114"/>
      <c r="GS148" s="114"/>
      <c r="GT148" s="114"/>
      <c r="GU148" s="114"/>
      <c r="GV148" s="114"/>
      <c r="GW148" s="114"/>
      <c r="GX148" s="114"/>
      <c r="GY148" s="114"/>
      <c r="GZ148" s="114"/>
      <c r="HA148" s="114"/>
      <c r="HB148" s="114"/>
      <c r="HC148" s="114"/>
      <c r="HD148" s="114"/>
      <c r="HE148" s="114"/>
      <c r="HF148" s="114"/>
      <c r="HG148" s="114"/>
      <c r="HH148" s="114"/>
      <c r="HI148" s="114"/>
      <c r="HJ148" s="114"/>
      <c r="HK148" s="114"/>
      <c r="HL148" s="114"/>
      <c r="HM148" s="114"/>
      <c r="HN148" s="114"/>
      <c r="HO148" s="114"/>
      <c r="HP148" s="114"/>
      <c r="HQ148" s="114"/>
      <c r="HR148" s="114"/>
      <c r="HS148" s="114"/>
      <c r="HT148" s="114"/>
      <c r="HU148" s="114"/>
      <c r="HV148" s="114"/>
      <c r="HW148" s="114"/>
      <c r="HX148" s="114"/>
      <c r="HY148" s="114"/>
      <c r="HZ148" s="114"/>
      <c r="IA148" s="114"/>
      <c r="IB148" s="114"/>
      <c r="IC148" s="114"/>
      <c r="ID148" s="114"/>
      <c r="IE148" s="114"/>
      <c r="IF148" s="114"/>
      <c r="IG148" s="114"/>
      <c r="IH148" s="114"/>
      <c r="II148" s="114"/>
      <c r="IJ148" s="114"/>
      <c r="IK148" s="114"/>
      <c r="IL148" s="114"/>
      <c r="IM148" s="114"/>
      <c r="IN148" s="114"/>
      <c r="IO148" s="114"/>
      <c r="IP148" s="114"/>
      <c r="IQ148" s="114"/>
      <c r="IR148" s="114"/>
      <c r="IS148" s="114"/>
      <c r="IT148" s="114"/>
      <c r="IU148" s="114"/>
      <c r="IV148" s="114"/>
    </row>
    <row r="149" spans="1:256" ht="12.75">
      <c r="A149" t="s">
        <v>137</v>
      </c>
      <c r="B149" s="28">
        <f>B39*(B146-$D$3)</f>
        <v>-0.5869565217391308</v>
      </c>
      <c r="C149" s="28">
        <f>C39*(C146-$D$3)</f>
        <v>-0.531876139990396</v>
      </c>
      <c r="D149" s="28">
        <f>D39*(D146-$D$3)</f>
        <v>-0.31645617303758095</v>
      </c>
      <c r="E149" s="28">
        <f>E39*(E146-$D$3)</f>
        <v>-0.0726983174157336</v>
      </c>
      <c r="F149" s="28">
        <f>F39*(F146-$D$3)</f>
        <v>0.11904157153973265</v>
      </c>
      <c r="G149" s="28">
        <f>G39*(G146-$D$3)</f>
        <v>0.24278484969927866</v>
      </c>
      <c r="H149" s="28">
        <f>H39*(H146-$D$3)</f>
        <v>0.30791852980518863</v>
      </c>
      <c r="I149" s="28">
        <f>I39*(I146-$D$3)</f>
        <v>0.3285044323943992</v>
      </c>
      <c r="J149" s="28">
        <f>J39*(J146-$D$3)</f>
        <v>0.31751578643843675</v>
      </c>
      <c r="K149" s="28">
        <f>K39*(K146-$D$3)</f>
        <v>0.2859815748481018</v>
      </c>
      <c r="L149" s="28">
        <f>L39*(L146-$D$3)</f>
        <v>0.24306049286010922</v>
      </c>
      <c r="M149" s="28">
        <f>M39*(M146-$D$3)</f>
        <v>0.1960788303669727</v>
      </c>
      <c r="N149" s="28">
        <f>N39*(N146-$D$3)</f>
        <v>0.15047984333399358</v>
      </c>
      <c r="O149" s="28">
        <f>O39*(O146-$D$3)</f>
        <v>0.10981906410810484</v>
      </c>
      <c r="P149" s="28">
        <f>P39*(P146-$D$3)</f>
        <v>0.07590055827702787</v>
      </c>
      <c r="Q149" s="28">
        <f>Q39*(Q146-$D$3)</f>
        <v>0.04904172801031866</v>
      </c>
      <c r="R149" s="28">
        <f>R39*(R146-$D$3)</f>
        <v>0.02834897624017165</v>
      </c>
      <c r="S149" s="28">
        <f>S39*(S146-$D$3)</f>
        <v>0.011810259230991597</v>
      </c>
      <c r="T149" s="28">
        <f>T39*(T146-$D$3)</f>
        <v>-0.0040625904164469945</v>
      </c>
      <c r="U149" s="28">
        <f>U39*(U146-$D$3)</f>
        <v>-0.02542827676606122</v>
      </c>
      <c r="V149" s="28">
        <f>V39*(V146-$D$3)</f>
        <v>-0.06357790058930453</v>
      </c>
      <c r="W149" s="28">
        <f>W39*(W146-$D$3)</f>
        <v>-0.13790275445796615</v>
      </c>
      <c r="X149" s="28">
        <f>X39*(X146-$D$3)</f>
        <v>-0.2715695580671777</v>
      </c>
      <c r="Y149" s="28">
        <f>Y39*(Y146-$D$3)</f>
        <v>-0.45575827879572733</v>
      </c>
      <c r="Z149" s="28">
        <f>Z39*(Z146-$D$3)</f>
        <v>-0.5869565217391309</v>
      </c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  <c r="IM149" s="114"/>
      <c r="IN149" s="114"/>
      <c r="IO149" s="114"/>
      <c r="IP149" s="114"/>
      <c r="IQ149" s="114"/>
      <c r="IR149" s="114"/>
      <c r="IS149" s="114"/>
      <c r="IT149" s="114"/>
      <c r="IU149" s="114"/>
      <c r="IV149" s="114"/>
    </row>
    <row r="150" spans="1:256" ht="12.75">
      <c r="A150" t="s">
        <v>138</v>
      </c>
      <c r="B150" s="28">
        <f>-B39*B149-B43*(B147-$D$4)</f>
        <v>-0.6374509101143264</v>
      </c>
      <c r="C150" s="28">
        <f>-C39*C149-C43*(C147-$D$4)</f>
        <v>-0.9332781223920074</v>
      </c>
      <c r="D150" s="28">
        <f>-D39*D149-D43*(D147-$D$4)</f>
        <v>-0.7508496368599119</v>
      </c>
      <c r="E150" s="28">
        <f>-E39*E149-E43*(E147-$D$4)</f>
        <v>-0.5136661855545338</v>
      </c>
      <c r="F150" s="28">
        <f>-F39*F149-F43*(F147-$D$4)</f>
        <v>-0.3776579665874378</v>
      </c>
      <c r="G150" s="28">
        <f>-G39*G149-G43*(G147-$D$4)</f>
        <v>-0.3080842676198464</v>
      </c>
      <c r="H150" s="28">
        <f>-H39*H149-H43*(H147-$D$4)</f>
        <v>-0.2578580281973243</v>
      </c>
      <c r="I150" s="28">
        <f>-I39*I149-I43*(I147-$D$4)</f>
        <v>-0.20449350906327</v>
      </c>
      <c r="J150" s="28">
        <f>-J39*J149-J43*(J147-$D$4)</f>
        <v>-0.1424921905687256</v>
      </c>
      <c r="K150" s="28">
        <f>-K39*K149-K43*(K147-$D$4)</f>
        <v>-0.07438869272496741</v>
      </c>
      <c r="L150" s="28">
        <f>-L39*L149-L43*(L147-$D$4)</f>
        <v>-0.005588353554458636</v>
      </c>
      <c r="M150" s="28">
        <f>-M39*M149-M43*(M147-$D$4)</f>
        <v>0.058497982068300654</v>
      </c>
      <c r="N150" s="28">
        <f>-N39*N149-N43*(N147-$D$4)</f>
        <v>0.1141465536795219</v>
      </c>
      <c r="O150" s="28">
        <f>-O39*O149-O43*(O147-$D$4)</f>
        <v>0.16022359097186442</v>
      </c>
      <c r="P150" s="28">
        <f>-P39*P149-P43*(P147-$D$4)</f>
        <v>0.19841108660751627</v>
      </c>
      <c r="Q150" s="28">
        <f>-Q39*Q149-Q43*(Q147-$D$4)</f>
        <v>0.2329386164841252</v>
      </c>
      <c r="R150" s="28">
        <f>-R39*R149-R43*(R147-$D$4)</f>
        <v>0.27014226499856064</v>
      </c>
      <c r="S150" s="28">
        <f>-S39*S149-S43*(S147-$D$4)</f>
        <v>0.3181107789324224</v>
      </c>
      <c r="T150" s="28">
        <f>-T39*T149-T43*(T147-$D$4)</f>
        <v>0.38615745367724735</v>
      </c>
      <c r="U150" s="28">
        <f>-U39*U149-U43*(U147-$D$4)</f>
        <v>0.48224068102998635</v>
      </c>
      <c r="V150" s="28">
        <f>-V39*V149-V43*(V147-$D$4)</f>
        <v>0.6019560768550203</v>
      </c>
      <c r="W150" s="28">
        <f>-W39*W149-W43*(W147-$D$4)</f>
        <v>0.6939933958353895</v>
      </c>
      <c r="X150" s="28">
        <f>-X39*X149-X43*(X147-$D$4)</f>
        <v>0.5972162707828945</v>
      </c>
      <c r="Y150" s="28">
        <f>-Y39*Y149-Y43*(Y147-$D$4)</f>
        <v>0.09177278896106489</v>
      </c>
      <c r="Z150" s="28">
        <f>-Z39*Z149-Z43*(Z147-$D$4)</f>
        <v>-0.6374509101143266</v>
      </c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R150" s="114"/>
      <c r="GS150" s="114"/>
      <c r="GT150" s="114"/>
      <c r="GU150" s="114"/>
      <c r="GV150" s="114"/>
      <c r="GW150" s="114"/>
      <c r="GX150" s="114"/>
      <c r="GY150" s="114"/>
      <c r="GZ150" s="114"/>
      <c r="HA150" s="114"/>
      <c r="HB150" s="114"/>
      <c r="HC150" s="114"/>
      <c r="HD150" s="114"/>
      <c r="HE150" s="114"/>
      <c r="HF150" s="114"/>
      <c r="HG150" s="114"/>
      <c r="HH150" s="114"/>
      <c r="HI150" s="114"/>
      <c r="HJ150" s="114"/>
      <c r="HK150" s="114"/>
      <c r="HL150" s="114"/>
      <c r="HM150" s="114"/>
      <c r="HN150" s="114"/>
      <c r="HO150" s="114"/>
      <c r="HP150" s="114"/>
      <c r="HQ150" s="114"/>
      <c r="HR150" s="114"/>
      <c r="HS150" s="114"/>
      <c r="HT150" s="114"/>
      <c r="HU150" s="114"/>
      <c r="HV150" s="114"/>
      <c r="HW150" s="114"/>
      <c r="HX150" s="114"/>
      <c r="HY150" s="114"/>
      <c r="HZ150" s="114"/>
      <c r="IA150" s="114"/>
      <c r="IB150" s="114"/>
      <c r="IC150" s="114"/>
      <c r="ID150" s="114"/>
      <c r="IE150" s="114"/>
      <c r="IF150" s="114"/>
      <c r="IG150" s="114"/>
      <c r="IH150" s="114"/>
      <c r="II150" s="114"/>
      <c r="IJ150" s="114"/>
      <c r="IK150" s="114"/>
      <c r="IL150" s="114"/>
      <c r="IM150" s="114"/>
      <c r="IN150" s="114"/>
      <c r="IO150" s="114"/>
      <c r="IP150" s="114"/>
      <c r="IQ150" s="114"/>
      <c r="IR150" s="114"/>
      <c r="IS150" s="114"/>
      <c r="IT150" s="114"/>
      <c r="IU150" s="114"/>
      <c r="IV150" s="114"/>
    </row>
    <row r="151" spans="1:256" ht="12.75">
      <c r="A151" t="s">
        <v>139</v>
      </c>
      <c r="B151" s="28">
        <f>B39*B148+B43*(B146-$D$3)</f>
        <v>-0.1961429521636472</v>
      </c>
      <c r="C151" s="28">
        <f>C39*C148+C43*(C146-$D$3)</f>
        <v>0.5936630020680634</v>
      </c>
      <c r="D151" s="28">
        <f>D39*D148+D43*(D146-$D$3)</f>
        <v>0.9550760664706044</v>
      </c>
      <c r="E151" s="28">
        <f>E39*E148+E43*(E146-$D$3)</f>
        <v>0.8570354947166339</v>
      </c>
      <c r="F151" s="28">
        <f>F39*F148+F43*(F146-$D$3)</f>
        <v>0.6005353431731691</v>
      </c>
      <c r="G151" s="28">
        <f>G39*G148+G43*(G146-$D$3)</f>
        <v>0.351949731610912</v>
      </c>
      <c r="H151" s="28">
        <f>H39*H148+H43*(H146-$D$3)</f>
        <v>0.15486075193591012</v>
      </c>
      <c r="I151" s="28">
        <f>I39*I148+I43*(I146-$D$3)</f>
        <v>0.010688039501166965</v>
      </c>
      <c r="J151" s="28">
        <f>J39*J148+J43*(J146-$D$3)</f>
        <v>-0.0876245341010092</v>
      </c>
      <c r="K151" s="28">
        <f>K39*K148+K43*(K146-$D$3)</f>
        <v>-0.1474505237094484</v>
      </c>
      <c r="L151" s="28">
        <f>L39*L148+L43*(L146-$D$3)</f>
        <v>-0.1757736115474844</v>
      </c>
      <c r="M151" s="28">
        <f>M39*M148+M43*(M146-$D$3)</f>
        <v>-0.17967331593362415</v>
      </c>
      <c r="N151" s="28">
        <f>N39*N148+N43*(N146-$D$3)</f>
        <v>-0.16642256291821256</v>
      </c>
      <c r="O151" s="28">
        <f>O39*O148+O43*(O146-$D$3)</f>
        <v>-0.14307239440943867</v>
      </c>
      <c r="P151" s="28">
        <f>P39*P148+P43*(P146-$D$3)</f>
        <v>-0.115863168984148</v>
      </c>
      <c r="Q151" s="28">
        <f>Q39*Q148+Q43*(Q146-$D$3)</f>
        <v>-0.08990029033528993</v>
      </c>
      <c r="R151" s="28">
        <f>R39*R148+R43*(R146-$D$3)</f>
        <v>-0.06944226692442847</v>
      </c>
      <c r="S151" s="28">
        <f>S39*S148+S43*(S146-$D$3)</f>
        <v>-0.059053740993190565</v>
      </c>
      <c r="T151" s="28">
        <f>T39*T148+T43*(T146-$D$3)</f>
        <v>-0.06596994353380127</v>
      </c>
      <c r="U151" s="28">
        <f>U39*U148+U43*(U146-$D$3)</f>
        <v>-0.10420328271599685</v>
      </c>
      <c r="V151" s="28">
        <f>V39*V148+V43*(V146-$D$3)</f>
        <v>-0.19962521598799104</v>
      </c>
      <c r="W151" s="28">
        <f>W39*W148+W43*(W146-$D$3)</f>
        <v>-0.38489748438378546</v>
      </c>
      <c r="X151" s="28">
        <f>X39*X148+X43*(X146-$D$3)</f>
        <v>-0.6362873754901426</v>
      </c>
      <c r="Y151" s="28">
        <f>Y39*Y148+Y43*(Y146-$D$3)</f>
        <v>-0.7024059886833833</v>
      </c>
      <c r="Z151" s="28">
        <f>Z39*Z148+Z43*(Z146-$D$3)</f>
        <v>-0.19614295216364747</v>
      </c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114"/>
      <c r="GE151" s="114"/>
      <c r="GF151" s="114"/>
      <c r="GG151" s="114"/>
      <c r="GH151" s="114"/>
      <c r="GI151" s="114"/>
      <c r="GJ151" s="114"/>
      <c r="GK151" s="114"/>
      <c r="GL151" s="114"/>
      <c r="GM151" s="114"/>
      <c r="GN151" s="114"/>
      <c r="GO151" s="114"/>
      <c r="GP151" s="114"/>
      <c r="GQ151" s="114"/>
      <c r="GR151" s="114"/>
      <c r="GS151" s="114"/>
      <c r="GT151" s="114"/>
      <c r="GU151" s="114"/>
      <c r="GV151" s="114"/>
      <c r="GW151" s="114"/>
      <c r="GX151" s="114"/>
      <c r="GY151" s="114"/>
      <c r="GZ151" s="114"/>
      <c r="HA151" s="114"/>
      <c r="HB151" s="114"/>
      <c r="HC151" s="114"/>
      <c r="HD151" s="114"/>
      <c r="HE151" s="114"/>
      <c r="HF151" s="114"/>
      <c r="HG151" s="114"/>
      <c r="HH151" s="114"/>
      <c r="HI151" s="114"/>
      <c r="HJ151" s="114"/>
      <c r="HK151" s="114"/>
      <c r="HL151" s="114"/>
      <c r="HM151" s="114"/>
      <c r="HN151" s="114"/>
      <c r="HO151" s="114"/>
      <c r="HP151" s="114"/>
      <c r="HQ151" s="114"/>
      <c r="HR151" s="114"/>
      <c r="HS151" s="114"/>
      <c r="HT151" s="114"/>
      <c r="HU151" s="114"/>
      <c r="HV151" s="114"/>
      <c r="HW151" s="114"/>
      <c r="HX151" s="114"/>
      <c r="HY151" s="114"/>
      <c r="HZ151" s="114"/>
      <c r="IA151" s="114"/>
      <c r="IB151" s="114"/>
      <c r="IC151" s="114"/>
      <c r="ID151" s="114"/>
      <c r="IE151" s="114"/>
      <c r="IF151" s="114"/>
      <c r="IG151" s="114"/>
      <c r="IH151" s="114"/>
      <c r="II151" s="114"/>
      <c r="IJ151" s="114"/>
      <c r="IK151" s="114"/>
      <c r="IL151" s="114"/>
      <c r="IM151" s="114"/>
      <c r="IN151" s="114"/>
      <c r="IO151" s="114"/>
      <c r="IP151" s="114"/>
      <c r="IQ151" s="114"/>
      <c r="IR151" s="114"/>
      <c r="IS151" s="114"/>
      <c r="IT151" s="114"/>
      <c r="IU151" s="114"/>
      <c r="IV151" s="114"/>
    </row>
    <row r="152" spans="1:26" s="113" customFormat="1" ht="12.75">
      <c r="A152" s="30"/>
      <c r="B152" s="30"/>
      <c r="C152" s="86" t="s">
        <v>294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56" ht="12.75">
      <c r="A153" t="s">
        <v>141</v>
      </c>
      <c r="B153" s="5">
        <f>$D$3+($J$9-$D$3)*COS(B62-$B$62)-($J$10-$D$4)*SIN(B62-$B$62)</f>
        <v>9</v>
      </c>
      <c r="C153" s="5">
        <f>$D$3+($J$9-$D$3)*COS(C62-$B$62)-($J$10-$D$4)*SIN(C62-$B$62)</f>
        <v>9.060438623152242</v>
      </c>
      <c r="D153" s="5">
        <f>$D$3+($J$9-$D$3)*COS(D62-$B$62)-($J$10-$D$4)*SIN(D62-$B$62)</f>
        <v>9.081395515387856</v>
      </c>
      <c r="E153" s="5">
        <f>$D$3+($J$9-$D$3)*COS(E62-$B$62)-($J$10-$D$4)*SIN(E62-$B$62)</f>
        <v>9.08543695295857</v>
      </c>
      <c r="F153" s="5">
        <f>$D$3+($J$9-$D$3)*COS(F62-$B$62)-($J$10-$D$4)*SIN(F62-$B$62)</f>
        <v>9.085020139113716</v>
      </c>
      <c r="G153" s="5">
        <f>$D$3+($J$9-$D$3)*COS(G62-$B$62)-($J$10-$D$4)*SIN(G62-$B$62)</f>
        <v>9.080712453393707</v>
      </c>
      <c r="H153" s="5">
        <f>$D$3+($J$9-$D$3)*COS(H62-$B$62)-($J$10-$D$4)*SIN(H62-$B$62)</f>
        <v>9.068593140883962</v>
      </c>
      <c r="I153" s="5">
        <f>$D$3+($J$9-$D$3)*COS(I62-$B$62)-($J$10-$D$4)*SIN(I62-$B$62)</f>
        <v>9.045041134116584</v>
      </c>
      <c r="J153" s="5">
        <f>$D$3+($J$9-$D$3)*COS(J62-$B$62)-($J$10-$D$4)*SIN(J62-$B$62)</f>
        <v>9.0084325010255</v>
      </c>
      <c r="K153" s="5">
        <f>$D$3+($J$9-$D$3)*COS(K62-$B$62)-($J$10-$D$4)*SIN(K62-$B$62)</f>
        <v>8.959325154708834</v>
      </c>
      <c r="L153" s="5">
        <f>$D$3+($J$9-$D$3)*COS(L62-$B$62)-($J$10-$D$4)*SIN(L62-$B$62)</f>
        <v>8.900054124060812</v>
      </c>
      <c r="M153" s="5">
        <f>$D$3+($J$9-$D$3)*COS(M62-$B$62)-($J$10-$D$4)*SIN(M62-$B$62)</f>
        <v>8.834134049196097</v>
      </c>
      <c r="N153" s="5">
        <f>$D$3+($J$9-$D$3)*COS(N62-$B$62)-($J$10-$D$4)*SIN(N62-$B$62)</f>
        <v>8.76565291329033</v>
      </c>
      <c r="O153" s="5">
        <f>$D$3+($J$9-$D$3)*COS(O62-$B$62)-($J$10-$D$4)*SIN(O62-$B$62)</f>
        <v>8.698768535177498</v>
      </c>
      <c r="P153" s="5">
        <f>$D$3+($J$9-$D$3)*COS(P62-$B$62)-($J$10-$D$4)*SIN(P62-$B$62)</f>
        <v>8.63738239786665</v>
      </c>
      <c r="Q153" s="5">
        <f>$D$3+($J$9-$D$3)*COS(Q62-$B$62)-($J$10-$D$4)*SIN(Q62-$B$62)</f>
        <v>8.58502669729257</v>
      </c>
      <c r="R153" s="5">
        <f>$D$3+($J$9-$D$3)*COS(R62-$B$62)-($J$10-$D$4)*SIN(R62-$B$62)</f>
        <v>8.544959199828924</v>
      </c>
      <c r="S153" s="5">
        <f>$D$3+($J$9-$D$3)*COS(S62-$B$62)-($J$10-$D$4)*SIN(S62-$B$62)</f>
        <v>8.52042698839336</v>
      </c>
      <c r="T153" s="5">
        <f>$D$3+($J$9-$D$3)*COS(T62-$B$62)-($J$10-$D$4)*SIN(T62-$B$62)</f>
        <v>8.51503184013206</v>
      </c>
      <c r="U153" s="5">
        <f>$D$3+($J$9-$D$3)*COS(U62-$B$62)-($J$10-$D$4)*SIN(U62-$B$62)</f>
        <v>8.533065578034558</v>
      </c>
      <c r="V153" s="5">
        <f>$D$3+($J$9-$D$3)*COS(V62-$B$62)-($J$10-$D$4)*SIN(V62-$B$62)</f>
        <v>8.579463171288706</v>
      </c>
      <c r="W153" s="5">
        <f>$D$3+($J$9-$D$3)*COS(W62-$B$62)-($J$10-$D$4)*SIN(W62-$B$62)</f>
        <v>8.658400632226844</v>
      </c>
      <c r="X153" s="5">
        <f>$D$3+($J$9-$D$3)*COS(X62-$B$62)-($J$10-$D$4)*SIN(X62-$B$62)</f>
        <v>8.768496706110694</v>
      </c>
      <c r="Y153" s="5">
        <f>$D$3+($J$9-$D$3)*COS(Y62-$B$62)-($J$10-$D$4)*SIN(Y62-$B$62)</f>
        <v>8.893633090866764</v>
      </c>
      <c r="Z153" s="5">
        <f>$D$3+($J$9-$D$3)*COS(Z62-$B$62)-($J$10-$D$4)*SIN(Z62-$B$62)</f>
        <v>9</v>
      </c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</row>
    <row r="154" spans="1:256" ht="12.75">
      <c r="A154" t="s">
        <v>142</v>
      </c>
      <c r="B154" s="5">
        <f>$D$4+($J$9-$D$3)*SIN(B62-$B$62)+($J$10-$D$4)*COS(B62-$B$62)</f>
        <v>0.5</v>
      </c>
      <c r="C154" s="5">
        <f>$D$4+($J$9-$D$3)*SIN(C62-$B$62)+($J$10-$D$4)*COS(C62-$B$62)</f>
        <v>0.2777031292679029</v>
      </c>
      <c r="D154" s="5">
        <f>$D$4+($J$9-$D$3)*SIN(D62-$B$62)+($J$10-$D$4)*COS(D62-$B$62)</f>
        <v>0.12436770878627257</v>
      </c>
      <c r="E154" s="5">
        <f>$D$4+($J$9-$D$3)*SIN(E62-$B$62)+($J$10-$D$4)*COS(E62-$B$62)</f>
        <v>0.05896659041489727</v>
      </c>
      <c r="F154" s="5">
        <f>$D$4+($J$9-$D$3)*SIN(F62-$B$62)+($J$10-$D$4)*COS(F62-$B$62)</f>
        <v>0.06866721507879064</v>
      </c>
      <c r="G154" s="5">
        <f>$D$4+($J$9-$D$3)*SIN(G62-$B$62)+($J$10-$D$4)*COS(G62-$B$62)</f>
        <v>0.13225214691938586</v>
      </c>
      <c r="H154" s="5">
        <f>$D$4+($J$9-$D$3)*SIN(H62-$B$62)+($J$10-$D$4)*COS(H62-$B$62)</f>
        <v>0.23072534873433254</v>
      </c>
      <c r="I154" s="5">
        <f>$D$4+($J$9-$D$3)*SIN(I62-$B$62)+($J$10-$D$4)*COS(I62-$B$62)</f>
        <v>0.3490789605677441</v>
      </c>
      <c r="J154" s="5">
        <f>$D$4+($J$9-$D$3)*SIN(J62-$B$62)+($J$10-$D$4)*COS(J62-$B$62)</f>
        <v>0.47572879884978414</v>
      </c>
      <c r="K154" s="5">
        <f>$D$4+($J$9-$D$3)*SIN(K62-$B$62)+($J$10-$D$4)*COS(K62-$B$62)</f>
        <v>0.6018597210113042</v>
      </c>
      <c r="L154" s="5">
        <f>$D$4+($J$9-$D$3)*SIN(L62-$B$62)+($J$10-$D$4)*COS(L62-$B$62)</f>
        <v>0.7210126729208525</v>
      </c>
      <c r="M154" s="5">
        <f>$D$4+($J$9-$D$3)*SIN(M62-$B$62)+($J$10-$D$4)*COS(M62-$B$62)</f>
        <v>0.8288022373370192</v>
      </c>
      <c r="N154" s="5">
        <f>$D$4+($J$9-$D$3)*SIN(N62-$B$62)+($J$10-$D$4)*COS(N62-$B$62)</f>
        <v>0.9226338849932646</v>
      </c>
      <c r="O154" s="5">
        <f>$D$4+($J$9-$D$3)*SIN(O62-$B$62)+($J$10-$D$4)*COS(O62-$B$62)</f>
        <v>1.0013529378315584</v>
      </c>
      <c r="P154" s="5">
        <f>$D$4+($J$9-$D$3)*SIN(P62-$B$62)+($J$10-$D$4)*COS(P62-$B$62)</f>
        <v>1.064818181943021</v>
      </c>
      <c r="Q154" s="5">
        <f>$D$4+($J$9-$D$3)*SIN(Q62-$B$62)+($J$10-$D$4)*COS(Q62-$B$62)</f>
        <v>1.1134282220335947</v>
      </c>
      <c r="R154" s="5">
        <f>$D$4+($J$9-$D$3)*SIN(R62-$B$62)+($J$10-$D$4)*COS(R62-$B$62)</f>
        <v>1.147628908079036</v>
      </c>
      <c r="S154" s="5">
        <f>$D$4+($J$9-$D$3)*SIN(S62-$B$62)+($J$10-$D$4)*COS(S62-$B$62)</f>
        <v>1.1673963161827825</v>
      </c>
      <c r="T154" s="5">
        <f>$D$4+($J$9-$D$3)*SIN(T62-$B$62)+($J$10-$D$4)*COS(T62-$B$62)</f>
        <v>1.1716299465038158</v>
      </c>
      <c r="U154" s="5">
        <f>$D$4+($J$9-$D$3)*SIN(U62-$B$62)+($J$10-$D$4)*COS(U62-$B$62)</f>
        <v>1.157319587273557</v>
      </c>
      <c r="V154" s="5">
        <f>$D$4+($J$9-$D$3)*SIN(V62-$B$62)+($J$10-$D$4)*COS(V62-$B$62)</f>
        <v>1.1183254875433495</v>
      </c>
      <c r="W154" s="5">
        <f>$D$4+($J$9-$D$3)*SIN(W62-$B$62)+($J$10-$D$4)*COS(W62-$B$62)</f>
        <v>1.043929165078656</v>
      </c>
      <c r="X154" s="5">
        <f>$D$4+($J$9-$D$3)*SIN(X62-$B$62)+($J$10-$D$4)*COS(X62-$B$62)</f>
        <v>0.9190296229221651</v>
      </c>
      <c r="Y154" s="5">
        <f>$D$4+($J$9-$D$3)*SIN(Y62-$B$62)+($J$10-$D$4)*COS(Y62-$B$62)</f>
        <v>0.7324707681638238</v>
      </c>
      <c r="Z154" s="5">
        <f>$D$4+($J$9-$D$3)*SIN(Z62-$B$62)+($J$10-$D$4)*COS(Z62-$B$62)</f>
        <v>0.5</v>
      </c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</row>
    <row r="155" spans="1:256" ht="12.75">
      <c r="A155" t="s">
        <v>143</v>
      </c>
      <c r="B155" s="5">
        <f>-B39*(B154-$D$4)</f>
        <v>0.3260869565217392</v>
      </c>
      <c r="C155" s="5">
        <f>-C39*(C154-$D$4)</f>
        <v>0.14152068702258438</v>
      </c>
      <c r="D155" s="5">
        <f>-D39*(D154-$D$4)</f>
        <v>0.03494378547290954</v>
      </c>
      <c r="E155" s="5">
        <f>-E39*(E154-$D$4)</f>
        <v>0.003703075435150149</v>
      </c>
      <c r="F155" s="5">
        <f>-F39*(F154-$D$4)</f>
        <v>-0.007088796220704324</v>
      </c>
      <c r="G155" s="5">
        <f>-G39*(G154-$D$4)</f>
        <v>-0.028608319457015745</v>
      </c>
      <c r="H155" s="5">
        <f>-H39*(H154-$D$4)</f>
        <v>-0.0663733991067024</v>
      </c>
      <c r="I155" s="5">
        <f>-I39*(I154-$D$4)</f>
        <v>-0.1145885689159847</v>
      </c>
      <c r="J155" s="5">
        <f>-J39*(J154-$D$4)</f>
        <v>-0.1646967254151689</v>
      </c>
      <c r="K155" s="5">
        <f>-K39*(K154-$D$4)</f>
        <v>-0.20892971200886673</v>
      </c>
      <c r="L155" s="5">
        <f>-L39*(L154-$D$4)</f>
        <v>-0.24159054453708328</v>
      </c>
      <c r="M155" s="5">
        <f>-M39*(M154-$D$4)</f>
        <v>-0.2593664963182302</v>
      </c>
      <c r="N155" s="5">
        <f>-N39*(N154-$D$4)</f>
        <v>-0.26112279763960317</v>
      </c>
      <c r="O155" s="5">
        <f>-O39*(O154-$D$4)</f>
        <v>-0.24734532597860798</v>
      </c>
      <c r="P155" s="5">
        <f>-P39*(P154-$D$4)</f>
        <v>-0.21936796402651493</v>
      </c>
      <c r="Q155" s="5">
        <f>-Q39*(Q154-$D$4)</f>
        <v>-0.1785435349172834</v>
      </c>
      <c r="R155" s="5">
        <f>-R39*(R154-$D$4)</f>
        <v>-0.12550670257989008</v>
      </c>
      <c r="S155" s="5">
        <f>-S39*(S154-$D$4)</f>
        <v>-0.059636599191102584</v>
      </c>
      <c r="T155" s="5">
        <f>-T39*(T154-$D$4)</f>
        <v>0.021148198081394703</v>
      </c>
      <c r="U155" s="5">
        <f>-U39*(U154-$D$4)</f>
        <v>0.11983101245554856</v>
      </c>
      <c r="V155" s="5">
        <f>-V39*(V154-$D$4)</f>
        <v>0.23755944714858768</v>
      </c>
      <c r="W155" s="5">
        <f>-W39*(W154-$D$4)</f>
        <v>0.3652514602240061</v>
      </c>
      <c r="X155" s="5">
        <f>-X39*(X154-$D$4)</f>
        <v>0.4660616751589107</v>
      </c>
      <c r="Y155" s="5">
        <f>-Y39*(Y154-$D$4)</f>
        <v>0.4666591908939159</v>
      </c>
      <c r="Z155" s="5">
        <f>-Z39*(Z154-$D$4)</f>
        <v>0.3260869565217393</v>
      </c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</row>
    <row r="156" spans="1:256" ht="12.75">
      <c r="A156" t="s">
        <v>144</v>
      </c>
      <c r="B156" s="5">
        <f>B39*(B153-$D$3)</f>
        <v>-0.91304347826087</v>
      </c>
      <c r="C156" s="5">
        <f>C39*(C153-$D$3)</f>
        <v>-0.7442562057103583</v>
      </c>
      <c r="D156" s="5">
        <f>D39*(D153-$D$3)</f>
        <v>-0.41622996512063487</v>
      </c>
      <c r="E156" s="5">
        <f>E39*(E153-$D$3)</f>
        <v>-0.09328477451827505</v>
      </c>
      <c r="F156" s="5">
        <f>F39*(F153-$D$3)</f>
        <v>0.15330467585936242</v>
      </c>
      <c r="G156" s="5">
        <f>G39*(G153-$D$3)</f>
        <v>0.3203025121133921</v>
      </c>
      <c r="H156" s="5">
        <f>H39*(H153-$D$3)</f>
        <v>0.4224742500118378</v>
      </c>
      <c r="I156" s="5">
        <f>I39*(I153-$D$3)</f>
        <v>0.4743488273078451</v>
      </c>
      <c r="J156" s="5">
        <f>J39*(J153-$D$3)</f>
        <v>0.4875976006666798</v>
      </c>
      <c r="K156" s="5">
        <f>K39*(K153-$D$3)</f>
        <v>0.4718764243310955</v>
      </c>
      <c r="L156" s="5">
        <f>L39*(L153-$D$3)</f>
        <v>0.4356106287108355</v>
      </c>
      <c r="M156" s="5">
        <f>M39*(M153-$D$3)</f>
        <v>0.38621158330302785</v>
      </c>
      <c r="N156" s="5">
        <f>N39*(N153-$D$3)</f>
        <v>0.3299017679123576</v>
      </c>
      <c r="O156" s="5">
        <f>O39*(O153-$D$3)</f>
        <v>0.2714080632719254</v>
      </c>
      <c r="P156" s="5">
        <f>P39*(P153-$D$3)</f>
        <v>0.21371579523717088</v>
      </c>
      <c r="Q156" s="5">
        <f>Q39*(Q153-$D$3)</f>
        <v>0.15795373697399048</v>
      </c>
      <c r="R156" s="5">
        <f>R39*(R153-$D$3)</f>
        <v>0.10334238917140619</v>
      </c>
      <c r="S156" s="5">
        <f>S39*(S153-$D$3)</f>
        <v>0.04702013757502215</v>
      </c>
      <c r="T156" s="5">
        <f>T39*(T153-$D$3)</f>
        <v>-0.016516541475950476</v>
      </c>
      <c r="U156" s="5">
        <f>U39*(U153-$D$3)</f>
        <v>-0.09661133720782177</v>
      </c>
      <c r="V156" s="5">
        <f>V39*(V153-$D$3)</f>
        <v>-0.20806172448495522</v>
      </c>
      <c r="W156" s="5">
        <f>W39*(W153-$D$3)</f>
        <v>-0.37031475827551824</v>
      </c>
      <c r="X156" s="5">
        <f>X39*(X153-$D$3)</f>
        <v>-0.5925723379144467</v>
      </c>
      <c r="Y156" s="5">
        <f>Y39*(Y153-$D$3)</f>
        <v>-0.8241772883453282</v>
      </c>
      <c r="Z156" s="5">
        <f>Z39*(Z153-$D$3)</f>
        <v>-0.9130434782608703</v>
      </c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</row>
    <row r="157" spans="1:256" ht="12.75">
      <c r="A157" t="s">
        <v>145</v>
      </c>
      <c r="B157" s="5">
        <f>-B39*B156-B43*(B154-$D$4)</f>
        <v>-0.7227897272688837</v>
      </c>
      <c r="C157" s="5">
        <f>-C39*C156-C43*(C154-$D$4)</f>
        <v>-0.5959058803565046</v>
      </c>
      <c r="D157" s="5">
        <f>-D39*D156-D43*(D154-$D$4)</f>
        <v>-0.22882491587092335</v>
      </c>
      <c r="E157" s="5">
        <f>-E39*E156-E43*(E154-$D$4)</f>
        <v>-0.049651252262528436</v>
      </c>
      <c r="F157" s="5">
        <f>-F39*F156-F43*(F154-$D$4)</f>
        <v>-0.052027317778663276</v>
      </c>
      <c r="G157" s="5">
        <f>-G39*G156-G43*(G154-$D$4)</f>
        <v>-0.11484865523788039</v>
      </c>
      <c r="H157" s="5">
        <f>-H39*H156-H43*(H154-$D$4)</f>
        <v>-0.1694543730873902</v>
      </c>
      <c r="I157" s="5">
        <f>-I39*I156-I43*(I154-$D$4)</f>
        <v>-0.1932347726106335</v>
      </c>
      <c r="J157" s="5">
        <f>-J39*J156-J43*(J154-$D$4)</f>
        <v>-0.1845467197773017</v>
      </c>
      <c r="K157" s="5">
        <f>-K39*K156-K43*(K154-$D$4)</f>
        <v>-0.14972491531487211</v>
      </c>
      <c r="L157" s="5">
        <f>-L39*L156-L43*(L154-$D$4)</f>
        <v>-0.09769084708616427</v>
      </c>
      <c r="M157" s="5">
        <f>-M39*M156-M43*(M154-$D$4)</f>
        <v>-0.037421658395985644</v>
      </c>
      <c r="N157" s="5">
        <f>-N39*N156-N43*(N154-$D$4)</f>
        <v>0.02364447497439577</v>
      </c>
      <c r="O157" s="5">
        <f>-O39*O156-O43*(O154-$D$4)</f>
        <v>0.08070427923840598</v>
      </c>
      <c r="P157" s="5">
        <f>-P39*P156-P43*(P154-$D$4)</f>
        <v>0.132117956847673</v>
      </c>
      <c r="Q157" s="5">
        <f>-Q39*Q156-Q43*(Q154-$D$4)</f>
        <v>0.17931861281410777</v>
      </c>
      <c r="R157" s="5">
        <f>-R39*R156-R43*(R154-$D$4)</f>
        <v>0.2262321728283203</v>
      </c>
      <c r="S157" s="5">
        <f>-S39*S156-S43*(S154-$D$4)</f>
        <v>0.2783281309268135</v>
      </c>
      <c r="T157" s="5">
        <f>-T39*T156-T43*(T154-$D$4)</f>
        <v>0.34086501221814586</v>
      </c>
      <c r="U157" s="5">
        <f>-U39*U156-U43*(U154-$D$4)</f>
        <v>0.4142267845483862</v>
      </c>
      <c r="V157" s="5">
        <f>-V39*V156-V43*(V154-$D$4)</f>
        <v>0.4805517900973727</v>
      </c>
      <c r="W157" s="5">
        <f>-W39*W156-W43*(W154-$D$4)</f>
        <v>0.4728042908871207</v>
      </c>
      <c r="X157" s="5">
        <f>-X39*X156-X43*(X154-$D$4)</f>
        <v>0.24675559660898366</v>
      </c>
      <c r="Y157" s="5">
        <f>-Y39*Y156-Y43*(Y154-$D$4)</f>
        <v>-0.27942849761201105</v>
      </c>
      <c r="Z157" s="5">
        <f>-Z39*Z156-Z43*(Z154-$D$4)</f>
        <v>-0.7227897272688841</v>
      </c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56" ht="12.75">
      <c r="A158" t="s">
        <v>146</v>
      </c>
      <c r="B158" s="5">
        <f>B39*B155+B43*(B153-$D$3)</f>
        <v>0.14384904353623806</v>
      </c>
      <c r="C158" s="5">
        <f>C39*C155+C43*(C153-$D$3)</f>
        <v>1.0671055800619886</v>
      </c>
      <c r="D158" s="5">
        <f>D39*D155+D43*(D153-$D$3)</f>
        <v>1.3227851005553468</v>
      </c>
      <c r="E158" s="5">
        <f>E39*E155+E43*(E153-$D$3)</f>
        <v>1.1029642800983894</v>
      </c>
      <c r="F158" s="5">
        <f>F39*F155+F43*(F153-$D$3)</f>
        <v>0.7821642388082</v>
      </c>
      <c r="G158" s="5">
        <f>G39*G155+G43*(G153-$D$3)</f>
        <v>0.5039290507591483</v>
      </c>
      <c r="H158" s="5">
        <f>H39*H155+H43*(H153-$D$3)</f>
        <v>0.2859226796655581</v>
      </c>
      <c r="I158" s="5">
        <f>I39*I155+I43*(I153-$D$3)</f>
        <v>0.11772363708959127</v>
      </c>
      <c r="J158" s="5">
        <f>J39*J155+J43*(J153-$D$3)</f>
        <v>-0.010415248053860071</v>
      </c>
      <c r="K158" s="5">
        <f>K39*K155+K43*(K153-$D$3)</f>
        <v>-0.10433351582315481</v>
      </c>
      <c r="L158" s="5">
        <f>L39*L155+L43*(L153-$D$3)</f>
        <v>-0.16798487317504793</v>
      </c>
      <c r="M158" s="5">
        <f>M39*M155+M43*(M153-$D$3)</f>
        <v>-0.20541332541882007</v>
      </c>
      <c r="N158" s="5">
        <f>N39*N155+N43*(N153-$D$3)</f>
        <v>-0.22173642913348063</v>
      </c>
      <c r="O158" s="5">
        <f>O39*O155+O43*(O153-$D$3)</f>
        <v>-0.22321537325076407</v>
      </c>
      <c r="P158" s="5">
        <f>P39*P155+P43*(P153-$D$3)</f>
        <v>-0.21680094457969118</v>
      </c>
      <c r="Q158" s="5">
        <f>Q39*Q155+Q43*(Q153-$D$3)</f>
        <v>-0.20967745671272323</v>
      </c>
      <c r="R158" s="5">
        <f>R39*R155+R43*(R153-$D$3)</f>
        <v>-0.20931134891471087</v>
      </c>
      <c r="S158" s="5">
        <f>S39*S155+S43*(S153-$D$3)</f>
        <v>-0.2243866431678548</v>
      </c>
      <c r="T158" s="5">
        <f>T39*T155+T43*(T153-$D$3)</f>
        <v>-0.26682689591871567</v>
      </c>
      <c r="U158" s="5">
        <f>U39*U155+U43*(U153-$D$3)</f>
        <v>-0.3544344887064315</v>
      </c>
      <c r="V158" s="5">
        <f>V39*V155+V43*(V153-$D$3)</f>
        <v>-0.5100545045033886</v>
      </c>
      <c r="W158" s="5">
        <f>W39*W155+W43*(W153-$D$3)</f>
        <v>-0.7385156345630298</v>
      </c>
      <c r="X158" s="5">
        <f>X39*X155+X43*(X153-$D$3)</f>
        <v>-0.9321664298930383</v>
      </c>
      <c r="Y158" s="5">
        <f>Y39*Y155+Y43*(Y153-$D$3)</f>
        <v>-0.7311705467379925</v>
      </c>
      <c r="Z158" s="5">
        <f>Z39*Z155+Z43*(Z153-$D$3)</f>
        <v>0.14384904353623792</v>
      </c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</row>
    <row r="159" spans="1:26" s="115" customFormat="1" ht="12.75">
      <c r="A159" s="31"/>
      <c r="B159" s="31"/>
      <c r="C159" s="91" t="s">
        <v>147</v>
      </c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56" ht="12.75">
      <c r="A160" t="s">
        <v>148</v>
      </c>
      <c r="B160" s="5">
        <f>B63+($L$3-$D$10)*COS(B75-$B$75)-($L$4-$D$11)*SIN(B75-$B$75)</f>
        <v>7</v>
      </c>
      <c r="C160" s="5">
        <f>C63+($L$3-$D$10)*COS(C75-$B$75)-($L$4-$D$11)*SIN(C75-$B$75)</f>
        <v>7.528384984616941</v>
      </c>
      <c r="D160" s="5">
        <f>D63+($L$3-$D$10)*COS(D75-$B$75)-($L$4-$D$11)*SIN(D75-$B$75)</f>
        <v>7.887599014629834</v>
      </c>
      <c r="E160" s="5">
        <f>E63+($L$3-$D$10)*COS(E75-$B$75)-($L$4-$D$11)*SIN(E75-$B$75)</f>
        <v>8.039246074766123</v>
      </c>
      <c r="F160" s="5">
        <f>F63+($L$3-$D$10)*COS(F75-$B$75)-($L$4-$D$11)*SIN(F75-$B$75)</f>
        <v>8.016817331826132</v>
      </c>
      <c r="G160" s="5">
        <f>G63+($L$3-$D$10)*COS(G75-$B$75)-($L$4-$D$11)*SIN(G75-$B$75)</f>
        <v>7.869250160643299</v>
      </c>
      <c r="H160" s="5">
        <f>H63+($L$3-$D$10)*COS(H75-$B$75)-($L$4-$D$11)*SIN(H75-$B$75)</f>
        <v>7.6389477673433</v>
      </c>
      <c r="I160" s="5">
        <f>I63+($L$3-$D$10)*COS(I75-$B$75)-($L$4-$D$11)*SIN(I75-$B$75)</f>
        <v>7.359617405229949</v>
      </c>
      <c r="J160" s="5">
        <f>J63+($L$3-$D$10)*COS(J75-$B$75)-($L$4-$D$11)*SIN(J75-$B$75)</f>
        <v>7.05806459403918</v>
      </c>
      <c r="K160" s="5">
        <f>K63+($L$3-$D$10)*COS(K75-$B$75)-($L$4-$D$11)*SIN(K75-$B$75)</f>
        <v>6.755472708710002</v>
      </c>
      <c r="L160" s="5">
        <f>L63+($L$3-$D$10)*COS(L75-$B$75)-($L$4-$D$11)*SIN(L75-$B$75)</f>
        <v>6.46793345193136</v>
      </c>
      <c r="M160" s="5">
        <f>M63+($L$3-$D$10)*COS(M75-$B$75)-($L$4-$D$11)*SIN(M75-$B$75)</f>
        <v>6.206727535783938</v>
      </c>
      <c r="N160" s="5">
        <f>N63+($L$3-$D$10)*COS(N75-$B$75)-($L$4-$D$11)*SIN(N75-$B$75)</f>
        <v>5.978745744903855</v>
      </c>
      <c r="O160" s="5">
        <f>O63+($L$3-$D$10)*COS(O75-$B$75)-($L$4-$D$11)*SIN(O75-$B$75)</f>
        <v>5.787217136914251</v>
      </c>
      <c r="P160" s="5">
        <f>P63+($L$3-$D$10)*COS(P75-$B$75)-($L$4-$D$11)*SIN(P75-$B$75)</f>
        <v>5.632726660518316</v>
      </c>
      <c r="Q160" s="5">
        <f>Q63+($L$3-$D$10)*COS(Q75-$B$75)-($L$4-$D$11)*SIN(Q75-$B$75)</f>
        <v>5.51440581123787</v>
      </c>
      <c r="R160" s="5">
        <f>R63+($L$3-$D$10)*COS(R75-$B$75)-($L$4-$D$11)*SIN(R75-$B$75)</f>
        <v>5.431185857198336</v>
      </c>
      <c r="S160" s="5">
        <f>S63+($L$3-$D$10)*COS(S75-$B$75)-($L$4-$D$11)*SIN(S75-$B$75)</f>
        <v>5.383102846915237</v>
      </c>
      <c r="T160" s="5">
        <f>T63+($L$3-$D$10)*COS(T75-$B$75)-($L$4-$D$11)*SIN(T75-$B$75)</f>
        <v>5.37280674559833</v>
      </c>
      <c r="U160" s="5">
        <f>U63+($L$3-$D$10)*COS(U75-$B$75)-($L$4-$D$11)*SIN(U75-$B$75)</f>
        <v>5.407612088595047</v>
      </c>
      <c r="V160" s="5">
        <f>V63+($L$3-$D$10)*COS(V75-$B$75)-($L$4-$D$11)*SIN(V75-$B$75)</f>
        <v>5.50248754982893</v>
      </c>
      <c r="W160" s="5">
        <f>W63+($L$3-$D$10)*COS(W75-$B$75)-($L$4-$D$11)*SIN(W75-$B$75)</f>
        <v>5.683577786482568</v>
      </c>
      <c r="X160" s="5">
        <f>X63+($L$3-$D$10)*COS(X75-$B$75)-($L$4-$D$11)*SIN(X75-$B$75)</f>
        <v>5.987510564189382</v>
      </c>
      <c r="Y160" s="5">
        <f>Y63+($L$3-$D$10)*COS(Y75-$B$75)-($L$4-$D$11)*SIN(Y75-$B$75)</f>
        <v>6.440210672241605</v>
      </c>
      <c r="Z160" s="5">
        <f>Z63+($L$3-$D$10)*COS(Z75-$B$75)-($L$4-$D$11)*SIN(Z75-$B$75)</f>
        <v>7</v>
      </c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56" ht="12.75">
      <c r="A161" t="s">
        <v>149</v>
      </c>
      <c r="B161" s="5">
        <f>B65+($L$3-$D$10)*SIN(B75-$B$75)+($L$4-$D$11)*COS(B75-$B$75)</f>
        <v>3</v>
      </c>
      <c r="C161" s="5">
        <f>C65+($L$3-$D$10)*SIN(C75-$B$75)+($L$4-$D$11)*COS(C75-$B$75)</f>
        <v>3.122487730585168</v>
      </c>
      <c r="D161" s="5">
        <f>D65+($L$3-$D$10)*SIN(D75-$B$75)+($L$4-$D$11)*COS(D75-$B$75)</f>
        <v>3.1485371763282486</v>
      </c>
      <c r="E161" s="5">
        <f>E65+($L$3-$D$10)*SIN(E75-$B$75)+($L$4-$D$11)*COS(E75-$B$75)</f>
        <v>3.1460755016915503</v>
      </c>
      <c r="F161" s="5">
        <f>F65+($L$3-$D$10)*SIN(F75-$B$75)+($L$4-$D$11)*COS(F75-$B$75)</f>
        <v>3.146942577447708</v>
      </c>
      <c r="G161" s="5">
        <f>G65+($L$3-$D$10)*SIN(G75-$B$75)+($L$4-$D$11)*COS(G75-$B$75)</f>
        <v>3.1482942963060934</v>
      </c>
      <c r="H161" s="5">
        <f>H65+($L$3-$D$10)*SIN(H75-$B$75)+($L$4-$D$11)*COS(H75-$B$75)</f>
        <v>3.1353061459211866</v>
      </c>
      <c r="I161" s="5">
        <f>I65+($L$3-$D$10)*SIN(I75-$B$75)+($L$4-$D$11)*COS(I75-$B$75)</f>
        <v>3.0945486839843497</v>
      </c>
      <c r="J161" s="5">
        <f>J65+($L$3-$D$10)*SIN(J75-$B$75)+($L$4-$D$11)*COS(J75-$B$75)</f>
        <v>3.0186071045674514</v>
      </c>
      <c r="K161" s="5">
        <f>K65+($L$3-$D$10)*SIN(K75-$B$75)+($L$4-$D$11)*COS(K75-$B$75)</f>
        <v>2.906659171554411</v>
      </c>
      <c r="L161" s="5">
        <f>L65+($L$3-$D$10)*SIN(L75-$B$75)+($L$4-$D$11)*COS(L75-$B$75)</f>
        <v>2.763473587921123</v>
      </c>
      <c r="M161" s="5">
        <f>M65+($L$3-$D$10)*SIN(M75-$B$75)+($L$4-$D$11)*COS(M75-$B$75)</f>
        <v>2.5978216095144604</v>
      </c>
      <c r="N161" s="5">
        <f>N65+($L$3-$D$10)*SIN(N75-$B$75)+($L$4-$D$11)*COS(N75-$B$75)</f>
        <v>2.420762731585916</v>
      </c>
      <c r="O161" s="5">
        <f>O65+($L$3-$D$10)*SIN(O75-$B$75)+($L$4-$D$11)*COS(O75-$B$75)</f>
        <v>2.2441173062866597</v>
      </c>
      <c r="P161" s="5">
        <f>P65+($L$3-$D$10)*SIN(P75-$B$75)+($L$4-$D$11)*COS(P75-$B$75)</f>
        <v>2.0793725030411307</v>
      </c>
      <c r="Q161" s="5">
        <f>Q65+($L$3-$D$10)*SIN(Q75-$B$75)+($L$4-$D$11)*COS(Q75-$B$75)</f>
        <v>1.9371720352976083</v>
      </c>
      <c r="R161" s="5">
        <f>R65+($L$3-$D$10)*SIN(R75-$B$75)+($L$4-$D$11)*COS(R75-$B$75)</f>
        <v>1.8274116574053263</v>
      </c>
      <c r="S161" s="5">
        <f>S65+($L$3-$D$10)*SIN(S75-$B$75)+($L$4-$D$11)*COS(S75-$B$75)</f>
        <v>1.7598392731385704</v>
      </c>
      <c r="T161" s="5">
        <f>T65+($L$3-$D$10)*SIN(T75-$B$75)+($L$4-$D$11)*COS(T75-$B$75)</f>
        <v>1.744942749527815</v>
      </c>
      <c r="U161" s="5">
        <f>U65+($L$3-$D$10)*SIN(U75-$B$75)+($L$4-$D$11)*COS(U75-$B$75)</f>
        <v>1.7946852875358061</v>
      </c>
      <c r="V161" s="5">
        <f>V65+($L$3-$D$10)*SIN(V75-$B$75)+($L$4-$D$11)*COS(V75-$B$75)</f>
        <v>1.921977888208572</v>
      </c>
      <c r="W161" s="5">
        <f>W65+($L$3-$D$10)*SIN(W75-$B$75)+($L$4-$D$11)*COS(W75-$B$75)</f>
        <v>2.136035522096243</v>
      </c>
      <c r="X161" s="5">
        <f>X65+($L$3-$D$10)*SIN(X75-$B$75)+($L$4-$D$11)*COS(X75-$B$75)</f>
        <v>2.4281982776046505</v>
      </c>
      <c r="Y161" s="5">
        <f>Y65+($L$3-$D$10)*SIN(Y75-$B$75)+($L$4-$D$11)*COS(Y75-$B$75)</f>
        <v>2.747592224534002</v>
      </c>
      <c r="Z161" s="5">
        <f>Z65+($L$3-$D$10)*SIN(Z75-$B$75)+($L$4-$D$11)*COS(Z75-$B$75)</f>
        <v>3</v>
      </c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8"/>
      <c r="EO161" s="108"/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/>
      <c r="FC161" s="108"/>
      <c r="FD161" s="108"/>
      <c r="FE161" s="108"/>
      <c r="FF161" s="108"/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/>
      <c r="FX161" s="108"/>
      <c r="FY161" s="108"/>
      <c r="FZ161" s="108"/>
      <c r="GA161" s="108"/>
      <c r="GB161" s="108"/>
      <c r="GC161" s="108"/>
      <c r="GD161" s="108"/>
      <c r="GE161" s="108"/>
      <c r="GF161" s="108"/>
      <c r="GG161" s="108"/>
      <c r="GH161" s="108"/>
      <c r="GI161" s="108"/>
      <c r="GJ161" s="108"/>
      <c r="GK161" s="108"/>
      <c r="GL161" s="108"/>
      <c r="GM161" s="108"/>
      <c r="GN161" s="108"/>
      <c r="GO161" s="108"/>
      <c r="GP161" s="108"/>
      <c r="GQ161" s="108"/>
      <c r="GR161" s="108"/>
      <c r="GS161" s="108"/>
      <c r="GT161" s="108"/>
      <c r="GU161" s="108"/>
      <c r="GV161" s="108"/>
      <c r="GW161" s="108"/>
      <c r="GX161" s="108"/>
      <c r="GY161" s="108"/>
      <c r="GZ161" s="108"/>
      <c r="HA161" s="108"/>
      <c r="HB161" s="108"/>
      <c r="HC161" s="108"/>
      <c r="HD161" s="108"/>
      <c r="HE161" s="108"/>
      <c r="HF161" s="108"/>
      <c r="HG161" s="108"/>
      <c r="HH161" s="108"/>
      <c r="HI161" s="108"/>
      <c r="HJ161" s="108"/>
      <c r="HK161" s="108"/>
      <c r="HL161" s="108"/>
      <c r="HM161" s="108"/>
      <c r="HN161" s="108"/>
      <c r="HO161" s="108"/>
      <c r="HP161" s="108"/>
      <c r="HQ161" s="108"/>
      <c r="HR161" s="108"/>
      <c r="HS161" s="108"/>
      <c r="HT161" s="108"/>
      <c r="HU161" s="108"/>
      <c r="HV161" s="108"/>
      <c r="HW161" s="108"/>
      <c r="HX161" s="108"/>
      <c r="HY161" s="108"/>
      <c r="HZ161" s="108"/>
      <c r="IA161" s="108"/>
      <c r="IB161" s="108"/>
      <c r="IC161" s="108"/>
      <c r="ID161" s="108"/>
      <c r="IE161" s="108"/>
      <c r="IF161" s="108"/>
      <c r="IG161" s="108"/>
      <c r="IH161" s="108"/>
      <c r="II161" s="108"/>
      <c r="IJ161" s="108"/>
      <c r="IK161" s="108"/>
      <c r="IL161" s="108"/>
      <c r="IM161" s="108"/>
      <c r="IN161" s="108"/>
      <c r="IO161" s="108"/>
      <c r="IP161" s="108"/>
      <c r="IQ161" s="108"/>
      <c r="IR161" s="108"/>
      <c r="IS161" s="108"/>
      <c r="IT161" s="108"/>
      <c r="IU161" s="108"/>
      <c r="IV161" s="108"/>
    </row>
    <row r="162" spans="1:256" ht="12.75">
      <c r="A162" t="s">
        <v>150</v>
      </c>
      <c r="B162" s="5">
        <f>B66-B77*(B161-B65)</f>
        <v>2.185837375359949</v>
      </c>
      <c r="C162" s="5">
        <f>C66-C77*(C161-C65)</f>
        <v>1.7549585718308847</v>
      </c>
      <c r="D162" s="5">
        <f>D66-D77*(D161-D65)</f>
        <v>0.9682897417136095</v>
      </c>
      <c r="E162" s="5">
        <f>E66-E77*(E161-E65)</f>
        <v>0.21557244260727254</v>
      </c>
      <c r="F162" s="5">
        <f>F66-F77*(F161-F65)</f>
        <v>-0.35463565571261846</v>
      </c>
      <c r="G162" s="5">
        <f>G66-G77*(G161-G65)</f>
        <v>-0.7457000149413784</v>
      </c>
      <c r="H162" s="5">
        <f>H66-H77*(H161-H65)</f>
        <v>-0.9923632262820696</v>
      </c>
      <c r="I162" s="5">
        <f>I66-I77*(I161-I65)</f>
        <v>-1.1245780299637873</v>
      </c>
      <c r="J162" s="5">
        <f>J66-J77*(J161-J65)</f>
        <v>-1.165658428013974</v>
      </c>
      <c r="K162" s="5">
        <f>K66-K77*(K161-K65)</f>
        <v>-1.1357432538109546</v>
      </c>
      <c r="L162" s="5">
        <f>L66-L77*(L161-L65)</f>
        <v>-1.0537386977936931</v>
      </c>
      <c r="M162" s="5">
        <f>M66-M77*(M161-M65)</f>
        <v>-0.9373873583645793</v>
      </c>
      <c r="N162" s="5">
        <f>N66-N77*(N161-N65)</f>
        <v>-0.8022755597116489</v>
      </c>
      <c r="O162" s="5">
        <f>O66-O77*(O161-O65)</f>
        <v>-0.6605997884901283</v>
      </c>
      <c r="P162" s="5">
        <f>P66-P77*(P161-P65)</f>
        <v>-0.520253397943707</v>
      </c>
      <c r="Q162" s="5">
        <f>Q66-Q77*(Q161-Q65)</f>
        <v>-0.3844134234941311</v>
      </c>
      <c r="R162" s="5">
        <f>R66-R77*(R161-R65)</f>
        <v>-0.25141017380883063</v>
      </c>
      <c r="S162" s="5">
        <f>S66-S77*(S161-S65)</f>
        <v>-0.11435605187435618</v>
      </c>
      <c r="T162" s="5">
        <f>T66-T77*(T161-T65)</f>
        <v>0.040166446136540794</v>
      </c>
      <c r="U162" s="5">
        <f>U66-U77*(U161-U65)</f>
        <v>0.23500241712748757</v>
      </c>
      <c r="V162" s="5">
        <f>V66-V77*(V161-V65)</f>
        <v>0.5063395123550467</v>
      </c>
      <c r="W162" s="5">
        <f>W66-W77*(W161-W65)</f>
        <v>0.9014749966113473</v>
      </c>
      <c r="X162" s="5">
        <f>X66-X77*(X161-X65)</f>
        <v>1.4409720524481018</v>
      </c>
      <c r="Y162" s="5">
        <f>Y66-Y77*(Y161-Y65)</f>
        <v>1.9944995563178296</v>
      </c>
      <c r="Z162" s="5">
        <f>Z66-Z77*(Z161-Z65)</f>
        <v>2.18583737535995</v>
      </c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/>
      <c r="EL162" s="108"/>
      <c r="EM162" s="108"/>
      <c r="EN162" s="108"/>
      <c r="EO162" s="108"/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/>
      <c r="FC162" s="108"/>
      <c r="FD162" s="108"/>
      <c r="FE162" s="108"/>
      <c r="FF162" s="108"/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/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/>
      <c r="HS162" s="108"/>
      <c r="HT162" s="108"/>
      <c r="HU162" s="108"/>
      <c r="HV162" s="108"/>
      <c r="HW162" s="108"/>
      <c r="HX162" s="108"/>
      <c r="HY162" s="108"/>
      <c r="HZ162" s="108"/>
      <c r="IA162" s="108"/>
      <c r="IB162" s="108"/>
      <c r="IC162" s="108"/>
      <c r="ID162" s="108"/>
      <c r="IE162" s="108"/>
      <c r="IF162" s="108"/>
      <c r="IG162" s="108"/>
      <c r="IH162" s="108"/>
      <c r="II162" s="108"/>
      <c r="IJ162" s="108"/>
      <c r="IK162" s="108"/>
      <c r="IL162" s="108"/>
      <c r="IM162" s="108"/>
      <c r="IN162" s="108"/>
      <c r="IO162" s="108"/>
      <c r="IP162" s="108"/>
      <c r="IQ162" s="108"/>
      <c r="IR162" s="108"/>
      <c r="IS162" s="108"/>
      <c r="IT162" s="108"/>
      <c r="IU162" s="108"/>
      <c r="IV162" s="108"/>
    </row>
    <row r="163" spans="1:256" ht="12.75">
      <c r="A163" t="s">
        <v>151</v>
      </c>
      <c r="B163" s="5">
        <f>B67+B77*(B160-B63)</f>
        <v>0.7254753972833246</v>
      </c>
      <c r="C163" s="5">
        <f>C67+C77*(C160-C63)</f>
        <v>0.2376816858581562</v>
      </c>
      <c r="D163" s="5">
        <f>D67+D77*(D160-D63)</f>
        <v>0.009738902435216634</v>
      </c>
      <c r="E163" s="5">
        <f>E67+E77*(E160-E63)</f>
        <v>-0.009174587546691284</v>
      </c>
      <c r="F163" s="5">
        <f>F67+F77*(F160-F63)</f>
        <v>0.012327319433501217</v>
      </c>
      <c r="G163" s="5">
        <f>G67+G77*(G160-G63)</f>
        <v>-0.012241265900620843</v>
      </c>
      <c r="H163" s="5">
        <f>H67+H77*(H160-H63)</f>
        <v>-0.09577807039119154</v>
      </c>
      <c r="I163" s="5">
        <f>I67+I77*(I160-I63)</f>
        <v>-0.2203232053291788</v>
      </c>
      <c r="J163" s="5">
        <f>J67+J77*(J160-J63)</f>
        <v>-0.3602797800326924</v>
      </c>
      <c r="K163" s="5">
        <f>K67+K77*(K160-K63)</f>
        <v>-0.49179876426567115</v>
      </c>
      <c r="L163" s="5">
        <f>L67+L77*(L160-L63)</f>
        <v>-0.5963626575057607</v>
      </c>
      <c r="M163" s="5">
        <f>M67+M77*(M160-M63)</f>
        <v>-0.6619849951656929</v>
      </c>
      <c r="N163" s="5">
        <f>N67+N77*(N160-N63)</f>
        <v>-0.6830490476239077</v>
      </c>
      <c r="O163" s="5">
        <f>O67+O77*(O160-O63)</f>
        <v>-0.6590769713707891</v>
      </c>
      <c r="P163" s="5">
        <f>P67+P77*(P160-P63)</f>
        <v>-0.5927116618260562</v>
      </c>
      <c r="Q163" s="5">
        <f>Q67+Q77*(Q160-Q63)</f>
        <v>-0.48736013012932566</v>
      </c>
      <c r="R163" s="5">
        <f>R67+R77*(R160-R63)</f>
        <v>-0.3450016324598385</v>
      </c>
      <c r="S163" s="5">
        <f>S67+S77*(S160-S63)</f>
        <v>-0.1645918758136478</v>
      </c>
      <c r="T163" s="5">
        <f>T67+T77*(T160-T63)</f>
        <v>0.05841713253283379</v>
      </c>
      <c r="U163" s="5">
        <f>U67+U77*(U160-U63)</f>
        <v>0.33004923094048666</v>
      </c>
      <c r="V163" s="5">
        <f>V67+V77*(V160-V63)</f>
        <v>0.6491093692589056</v>
      </c>
      <c r="W163" s="5">
        <f>W67+W77*(W160-W63)</f>
        <v>0.9824484284768183</v>
      </c>
      <c r="X163" s="5">
        <f>X67+X77*(X160-X63)</f>
        <v>1.2180507730220083</v>
      </c>
      <c r="Y163" s="5">
        <f>Y67+Y77*(Y160-Y63)</f>
        <v>1.156436402121109</v>
      </c>
      <c r="Z163" s="5">
        <f>Z67+Z77*(Z160-Z63)</f>
        <v>0.7254753972833246</v>
      </c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  <c r="IP163" s="108"/>
      <c r="IQ163" s="108"/>
      <c r="IR163" s="108"/>
      <c r="IS163" s="108"/>
      <c r="IT163" s="108"/>
      <c r="IU163" s="108"/>
      <c r="IV163" s="108"/>
    </row>
    <row r="164" spans="1:256" ht="12.75">
      <c r="A164" t="s">
        <v>152</v>
      </c>
      <c r="B164" s="5">
        <f>B68-B78*(B161-B65)-B77*(B163-B67)</f>
        <v>-0.4588372158225018</v>
      </c>
      <c r="C164" s="5">
        <f>C68-C78*(C161-C65)-C77*(C163-C67)</f>
        <v>-2.6200571775085484</v>
      </c>
      <c r="D164" s="5">
        <f>D68-D78*(D161-D65)-D77*(D163-D67)</f>
        <v>-3.116498009053992</v>
      </c>
      <c r="E164" s="5">
        <f>E68-E78*(E161-E65)-E77*(E163-E67)</f>
        <v>-2.5509834418021358</v>
      </c>
      <c r="F164" s="5">
        <f>F68-F78*(F161-F65)-F77*(F163-F67)</f>
        <v>-1.8150595417630033</v>
      </c>
      <c r="G164" s="5">
        <f>G68-G78*(G161-G65)-G77*(G163-G67)</f>
        <v>-1.1962289755455773</v>
      </c>
      <c r="H164" s="5">
        <f>H68-H78*(H161-H65)-H77*(H163-H67)</f>
        <v>-0.7071037057851024</v>
      </c>
      <c r="I164" s="5">
        <f>I68-I78*(I161-I65)-I77*(I163-I67)</f>
        <v>-0.31752570473580094</v>
      </c>
      <c r="J164" s="5">
        <f>J68-J78*(J161-J65)-J77*(J163-J67)</f>
        <v>-0.009005074248201298</v>
      </c>
      <c r="K164" s="5">
        <f>K68-K78*(K161-K65)-K77*(K163-K67)</f>
        <v>0.22550008384423326</v>
      </c>
      <c r="L164" s="5">
        <f>L68-L78*(L161-L65)-L77*(L163-L67)</f>
        <v>0.3896023368673762</v>
      </c>
      <c r="M164" s="5">
        <f>M68-M78*(M161-M65)-M77*(M163-M67)</f>
        <v>0.4892500245489924</v>
      </c>
      <c r="N164" s="5">
        <f>N68-N78*(N161-N65)-N77*(N163-N67)</f>
        <v>0.5351037545252786</v>
      </c>
      <c r="O164" s="5">
        <f>O68-O78*(O161-O65)-O77*(O163-O67)</f>
        <v>0.5421701871118293</v>
      </c>
      <c r="P164" s="5">
        <f>P68-P78*(P161-P65)-P77*(P163-P67)</f>
        <v>0.5279713600744153</v>
      </c>
      <c r="Q164" s="5">
        <f>Q68-Q78*(Q161-Q65)-Q77*(Q163-Q67)</f>
        <v>0.5108155015486662</v>
      </c>
      <c r="R164" s="5">
        <f>R68-R78*(R161-R65)-R77*(R163-R67)</f>
        <v>0.5095626366756048</v>
      </c>
      <c r="S164" s="5">
        <f>S68-S78*(S161-S65)-S77*(S163-S67)</f>
        <v>0.5458118296991045</v>
      </c>
      <c r="T164" s="5">
        <f>T68-T78*(T161-T65)-T77*(T163-T67)</f>
        <v>0.6489055945039489</v>
      </c>
      <c r="U164" s="5">
        <f>U68-U78*(U161-U65)-U77*(U163-U67)</f>
        <v>0.862485493608819</v>
      </c>
      <c r="V164" s="5">
        <f>V68-V78*(V161-V65)-V77*(V163-V67)</f>
        <v>1.2422486126818268</v>
      </c>
      <c r="W164" s="5">
        <f>W68-W78*(W161-W65)-W77*(W163-W67)</f>
        <v>1.797505503305513</v>
      </c>
      <c r="X164" s="5">
        <f>X68-X78*(X161-X65)-X77*(X163-X67)</f>
        <v>2.253104204037444</v>
      </c>
      <c r="Y164" s="5">
        <f>Y68-Y78*(Y161-Y65)-Y77*(Y163-Y67)</f>
        <v>1.7112616899188904</v>
      </c>
      <c r="Z164" s="5">
        <f>Z68-Z78*(Z161-Z65)-Z77*(Z163-Z67)</f>
        <v>-0.45883721582250164</v>
      </c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8"/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/>
      <c r="EZ164" s="108"/>
      <c r="FA164" s="108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/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  <c r="II164" s="108"/>
      <c r="IJ164" s="108"/>
      <c r="IK164" s="108"/>
      <c r="IL164" s="108"/>
      <c r="IM164" s="108"/>
      <c r="IN164" s="108"/>
      <c r="IO164" s="108"/>
      <c r="IP164" s="108"/>
      <c r="IQ164" s="108"/>
      <c r="IR164" s="108"/>
      <c r="IS164" s="108"/>
      <c r="IT164" s="108"/>
      <c r="IU164" s="108"/>
      <c r="IV164" s="108"/>
    </row>
    <row r="165" spans="1:256" ht="12.75">
      <c r="A165" t="s">
        <v>153</v>
      </c>
      <c r="B165" s="5">
        <f>B69+B78*(B160-B63)+B77*(B162-B66)</f>
        <v>-2.046569344233932</v>
      </c>
      <c r="C165" s="5">
        <f>C69+C78*(C160-C63)+C77*(C162-C66)</f>
        <v>-1.4455421272262499</v>
      </c>
      <c r="D165" s="5">
        <f>D69+D78*(D160-D63)+D77*(D162-D66)</f>
        <v>-0.3562178552091402</v>
      </c>
      <c r="E165" s="5">
        <f>E69+E78*(E160-E63)+E77*(E162-E66)</f>
        <v>0.09240006331883655</v>
      </c>
      <c r="F165" s="5">
        <f>F69+F78*(F160-F63)+F77*(F162-F66)</f>
        <v>0.01938588178707813</v>
      </c>
      <c r="G165" s="5">
        <f>G69+G78*(G160-G63)+G77*(G162-G66)</f>
        <v>-0.21232418765249464</v>
      </c>
      <c r="H165" s="5">
        <f>H69+H78*(H160-H63)+H77*(H162-H66)</f>
        <v>-0.41305335867089066</v>
      </c>
      <c r="I165" s="5">
        <f>I69+I78*(I160-I63)+I77*(I162-I66)</f>
        <v>-0.5215816031807076</v>
      </c>
      <c r="J165" s="5">
        <f>J69+J78*(J160-J63)+J77*(J162-J66)</f>
        <v>-0.532223497830457</v>
      </c>
      <c r="K165" s="5">
        <f>K69+K78*(K160-K63)+K77*(K162-K66)</f>
        <v>-0.46064950229603946</v>
      </c>
      <c r="L165" s="5">
        <f>L69+L78*(L160-L63)+L77*(L162-L66)</f>
        <v>-0.33054090947783354</v>
      </c>
      <c r="M165" s="5">
        <f>M69+M78*(M160-M63)+M77*(M162-M66)</f>
        <v>-0.16728181856861363</v>
      </c>
      <c r="N165" s="5">
        <f>N69+N78*(N160-N63)+N77*(N162-N66)</f>
        <v>0.006535706781870083</v>
      </c>
      <c r="O165" s="5">
        <f>O69+O78*(O160-O63)+O77*(O162-O66)</f>
        <v>0.1747600656519734</v>
      </c>
      <c r="P165" s="5">
        <f>P69+P78*(P160-P63)+P77*(P162-P66)</f>
        <v>0.3299212836080406</v>
      </c>
      <c r="Q165" s="5">
        <f>Q69+Q78*(Q160-Q63)+Q77*(Q162-Q66)</f>
        <v>0.4735398318759219</v>
      </c>
      <c r="R165" s="5">
        <f>R69+R78*(R160-R63)+R77*(R162-R66)</f>
        <v>0.6146232822572991</v>
      </c>
      <c r="S165" s="5">
        <f>S69+S78*(S160-S63)+S77*(S162-S66)</f>
        <v>0.7665975403097187</v>
      </c>
      <c r="T165" s="5">
        <f>T69+T78*(T160-T63)+T77*(T162-T66)</f>
        <v>0.9413680678595956</v>
      </c>
      <c r="U165" s="5">
        <f>U69+U78*(U160-U63)+U77*(U162-U66)</f>
        <v>1.1344325954292103</v>
      </c>
      <c r="V165" s="5">
        <f>V69+V78*(V160-V63)+V77*(V162-V66)</f>
        <v>1.2851792645409605</v>
      </c>
      <c r="W165" s="5">
        <f>W69+W78*(W160-W63)+W77*(W162-W66)</f>
        <v>1.1928067102150846</v>
      </c>
      <c r="X165" s="5">
        <f>X69+X78*(X160-X63)+X77*(X162-X66)</f>
        <v>0.4669203724025369</v>
      </c>
      <c r="Y165" s="5">
        <f>Y69+Y78*(Y160-Y63)+Y77*(Y162-Y66)</f>
        <v>-1.0124876611081715</v>
      </c>
      <c r="Z165" s="5">
        <f>Z69+Z78*(Z160-Z63)+Z77*(Z162-Z66)</f>
        <v>-2.046569344233933</v>
      </c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8"/>
      <c r="EO165" s="108"/>
      <c r="EP165" s="108"/>
      <c r="EQ165" s="108"/>
      <c r="ER165" s="108"/>
      <c r="ES165" s="108"/>
      <c r="ET165" s="108"/>
      <c r="EU165" s="108"/>
      <c r="EV165" s="108"/>
      <c r="EW165" s="108"/>
      <c r="EX165" s="108"/>
      <c r="EY165" s="108"/>
      <c r="EZ165" s="108"/>
      <c r="FA165" s="108"/>
      <c r="FB165" s="108"/>
      <c r="FC165" s="108"/>
      <c r="FD165" s="108"/>
      <c r="FE165" s="108"/>
      <c r="FF165" s="108"/>
      <c r="FG165" s="108"/>
      <c r="FH165" s="108"/>
      <c r="FI165" s="108"/>
      <c r="FJ165" s="108"/>
      <c r="FK165" s="108"/>
      <c r="FL165" s="108"/>
      <c r="FM165" s="108"/>
      <c r="FN165" s="108"/>
      <c r="FO165" s="108"/>
      <c r="FP165" s="108"/>
      <c r="FQ165" s="108"/>
      <c r="FR165" s="108"/>
      <c r="FS165" s="108"/>
      <c r="FT165" s="108"/>
      <c r="FU165" s="108"/>
      <c r="FV165" s="108"/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I165" s="108"/>
      <c r="GJ165" s="108"/>
      <c r="GK165" s="108"/>
      <c r="GL165" s="108"/>
      <c r="GM165" s="108"/>
      <c r="GN165" s="108"/>
      <c r="GO165" s="108"/>
      <c r="GP165" s="108"/>
      <c r="GQ165" s="108"/>
      <c r="GR165" s="108"/>
      <c r="GS165" s="108"/>
      <c r="GT165" s="108"/>
      <c r="GU165" s="108"/>
      <c r="GV165" s="108"/>
      <c r="GW165" s="108"/>
      <c r="GX165" s="108"/>
      <c r="GY165" s="108"/>
      <c r="GZ165" s="108"/>
      <c r="HA165" s="108"/>
      <c r="HB165" s="108"/>
      <c r="HC165" s="108"/>
      <c r="HD165" s="108"/>
      <c r="HE165" s="108"/>
      <c r="HF165" s="108"/>
      <c r="HG165" s="108"/>
      <c r="HH165" s="108"/>
      <c r="HI165" s="108"/>
      <c r="HJ165" s="108"/>
      <c r="HK165" s="108"/>
      <c r="HL165" s="108"/>
      <c r="HM165" s="108"/>
      <c r="HN165" s="108"/>
      <c r="HO165" s="108"/>
      <c r="HP165" s="108"/>
      <c r="HQ165" s="108"/>
      <c r="HR165" s="108"/>
      <c r="HS165" s="108"/>
      <c r="HT165" s="108"/>
      <c r="HU165" s="108"/>
      <c r="HV165" s="108"/>
      <c r="HW165" s="108"/>
      <c r="HX165" s="108"/>
      <c r="HY165" s="108"/>
      <c r="HZ165" s="108"/>
      <c r="IA165" s="108"/>
      <c r="IB165" s="108"/>
      <c r="IC165" s="108"/>
      <c r="ID165" s="108"/>
      <c r="IE165" s="108"/>
      <c r="IF165" s="108"/>
      <c r="IG165" s="108"/>
      <c r="IH165" s="108"/>
      <c r="II165" s="108"/>
      <c r="IJ165" s="108"/>
      <c r="IK165" s="108"/>
      <c r="IL165" s="108"/>
      <c r="IM165" s="108"/>
      <c r="IN165" s="108"/>
      <c r="IO165" s="108"/>
      <c r="IP165" s="108"/>
      <c r="IQ165" s="108"/>
      <c r="IR165" s="108"/>
      <c r="IS165" s="108"/>
      <c r="IT165" s="108"/>
      <c r="IU165" s="108"/>
      <c r="IV165" s="108"/>
    </row>
    <row r="166" spans="1:256" ht="12.75">
      <c r="A166" s="33"/>
      <c r="B166" s="88" t="s">
        <v>237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  <c r="IP166" s="108"/>
      <c r="IQ166" s="108"/>
      <c r="IR166" s="108"/>
      <c r="IS166" s="108"/>
      <c r="IT166" s="108"/>
      <c r="IU166" s="108"/>
      <c r="IV166" s="108"/>
    </row>
    <row r="167" spans="1:256" ht="12.75">
      <c r="A167" t="s">
        <v>219</v>
      </c>
      <c r="B167" s="5">
        <f>$L$5-$F$5+B81</f>
        <v>3</v>
      </c>
      <c r="C167" s="5">
        <f>$L$5-$F$5+C81</f>
        <v>3.2380607777857726</v>
      </c>
      <c r="D167" s="5">
        <f>$L$5-$F$5+D81</f>
        <v>3.3907165616035084</v>
      </c>
      <c r="E167" s="5">
        <f>$L$5-$F$5+E81</f>
        <v>3.4539365965711664</v>
      </c>
      <c r="F167" s="5">
        <f>$L$5-$F$5+F81</f>
        <v>3.4446147711545976</v>
      </c>
      <c r="G167" s="5">
        <f>$L$5-$F$5+G81</f>
        <v>3.3830307697618656</v>
      </c>
      <c r="H167" s="5">
        <f>$L$5-$F$5+H81</f>
        <v>3.2856160953036095</v>
      </c>
      <c r="I167" s="5">
        <f>$L$5-$F$5+I81</f>
        <v>3.1641864599015013</v>
      </c>
      <c r="J167" s="5">
        <f>$L$5-$F$5+J81</f>
        <v>3.0272490605532894</v>
      </c>
      <c r="K167" s="5">
        <f>$L$5-$F$5+K81</f>
        <v>2.8814243880054726</v>
      </c>
      <c r="L167" s="5">
        <f>$L$5-$F$5+L81</f>
        <v>2.732425437015139</v>
      </c>
      <c r="M167" s="5">
        <f>$L$5-$F$5+M81</f>
        <v>2.585551043121593</v>
      </c>
      <c r="N167" s="5">
        <f>$L$5-$F$5+N81</f>
        <v>2.4458087720906456</v>
      </c>
      <c r="O167" s="5">
        <f>$L$5-$F$5+O81</f>
        <v>2.317839534709629</v>
      </c>
      <c r="P167" s="5">
        <f>$L$5-$F$5+P81</f>
        <v>2.2058283953367304</v>
      </c>
      <c r="Q167" s="5">
        <f>$L$5-$F$5+Q81</f>
        <v>2.113552056488351</v>
      </c>
      <c r="R167" s="5">
        <f>$L$5-$F$5+R81</f>
        <v>2.0446466290882395</v>
      </c>
      <c r="S167" s="5">
        <f>$L$5-$F$5+S81</f>
        <v>2.003114287164313</v>
      </c>
      <c r="T167" s="5">
        <f>$L$5-$F$5+T81</f>
        <v>1.994043473891769</v>
      </c>
      <c r="U167" s="5">
        <f>$L$5-$F$5+U81</f>
        <v>2.024451534547156</v>
      </c>
      <c r="V167" s="5">
        <f>$L$5-$F$5+V81</f>
        <v>2.1039004784883053</v>
      </c>
      <c r="W167" s="5">
        <f>$L$5-$F$5+W81</f>
        <v>2.2436756126929547</v>
      </c>
      <c r="X167" s="5">
        <f>$L$5-$F$5+X81</f>
        <v>2.4514152161025184</v>
      </c>
      <c r="Y167" s="5">
        <f>$L$5-$F$5+Y81</f>
        <v>2.717410055177799</v>
      </c>
      <c r="Z167" s="5">
        <f>$L$5-$F$5+Z81</f>
        <v>3</v>
      </c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/>
      <c r="EL167" s="108"/>
      <c r="EM167" s="108"/>
      <c r="EN167" s="108"/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/>
      <c r="FC167" s="108"/>
      <c r="FD167" s="108"/>
      <c r="FE167" s="108"/>
      <c r="FF167" s="108"/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/>
      <c r="FR167" s="108"/>
      <c r="FS167" s="108"/>
      <c r="FT167" s="108"/>
      <c r="FU167" s="108"/>
      <c r="FV167" s="108"/>
      <c r="FW167" s="108"/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I167" s="108"/>
      <c r="GJ167" s="108"/>
      <c r="GK167" s="108"/>
      <c r="GL167" s="108"/>
      <c r="GM167" s="108"/>
      <c r="GN167" s="108"/>
      <c r="GO167" s="108"/>
      <c r="GP167" s="108"/>
      <c r="GQ167" s="108"/>
      <c r="GR167" s="108"/>
      <c r="GS167" s="108"/>
      <c r="GT167" s="108"/>
      <c r="GU167" s="108"/>
      <c r="GV167" s="108"/>
      <c r="GW167" s="108"/>
      <c r="GX167" s="108"/>
      <c r="GY167" s="108"/>
      <c r="GZ167" s="108"/>
      <c r="HA167" s="108"/>
      <c r="HB167" s="108"/>
      <c r="HC167" s="108"/>
      <c r="HD167" s="108"/>
      <c r="HE167" s="108"/>
      <c r="HF167" s="108"/>
      <c r="HG167" s="108"/>
      <c r="HH167" s="108"/>
      <c r="HI167" s="108"/>
      <c r="HJ167" s="108"/>
      <c r="HK167" s="108"/>
      <c r="HL167" s="108"/>
      <c r="HM167" s="108"/>
      <c r="HN167" s="108"/>
      <c r="HO167" s="108"/>
      <c r="HP167" s="108"/>
      <c r="HQ167" s="108"/>
      <c r="HR167" s="108"/>
      <c r="HS167" s="108"/>
      <c r="HT167" s="108"/>
      <c r="HU167" s="108"/>
      <c r="HV167" s="108"/>
      <c r="HW167" s="108"/>
      <c r="HX167" s="108"/>
      <c r="HY167" s="108"/>
      <c r="HZ167" s="108"/>
      <c r="IA167" s="108"/>
      <c r="IB167" s="108"/>
      <c r="IC167" s="108"/>
      <c r="ID167" s="108"/>
      <c r="IE167" s="108"/>
      <c r="IF167" s="108"/>
      <c r="IG167" s="108"/>
      <c r="IH167" s="108"/>
      <c r="II167" s="108"/>
      <c r="IJ167" s="108"/>
      <c r="IK167" s="108"/>
      <c r="IL167" s="108"/>
      <c r="IM167" s="108"/>
      <c r="IN167" s="108"/>
      <c r="IO167" s="108"/>
      <c r="IP167" s="108"/>
      <c r="IQ167" s="108"/>
      <c r="IR167" s="108"/>
      <c r="IS167" s="108"/>
      <c r="IT167" s="108"/>
      <c r="IU167" s="108"/>
      <c r="IV167" s="108"/>
    </row>
    <row r="168" spans="1:256" ht="12.75">
      <c r="A168" t="s">
        <v>220</v>
      </c>
      <c r="B168" s="5">
        <f>$L$6-$F$6+B82</f>
        <v>-0.5</v>
      </c>
      <c r="C168" s="5">
        <f>$L$6-$F$6+C82</f>
        <v>-0.08766663758567717</v>
      </c>
      <c r="D168" s="5">
        <f>$L$6-$F$6+D82</f>
        <v>0.17674093605589203</v>
      </c>
      <c r="E168" s="5">
        <f>$L$6-$F$6+E82</f>
        <v>0.28624124867615475</v>
      </c>
      <c r="F168" s="5">
        <f>$L$6-$F$6+F82</f>
        <v>0.27009537343537016</v>
      </c>
      <c r="G168" s="5">
        <f>$L$6-$F$6+G82</f>
        <v>0.16342875408976543</v>
      </c>
      <c r="H168" s="5">
        <f>$L$6-$F$6+H82</f>
        <v>-0.005298411474714548</v>
      </c>
      <c r="I168" s="5">
        <f>$L$6-$F$6+I82</f>
        <v>-0.21562070953572743</v>
      </c>
      <c r="J168" s="5">
        <f>$L$6-$F$6+J82</f>
        <v>-0.45280324266318184</v>
      </c>
      <c r="K168" s="5">
        <f>$L$6-$F$6+K82</f>
        <v>-0.7053789845130951</v>
      </c>
      <c r="L168" s="5">
        <f>$L$6-$F$6+L82</f>
        <v>-0.9634527379028173</v>
      </c>
      <c r="M168" s="5">
        <f>$L$6-$F$6+M82</f>
        <v>-1.2178466504573238</v>
      </c>
      <c r="N168" s="5">
        <f>$L$6-$F$6+N82</f>
        <v>-1.4598873638479835</v>
      </c>
      <c r="O168" s="5">
        <f>$L$6-$F$6+O82</f>
        <v>-1.6815365847977484</v>
      </c>
      <c r="P168" s="5">
        <f>$L$6-$F$6+P82</f>
        <v>-1.875545569205285</v>
      </c>
      <c r="Q168" s="5">
        <f>$L$6-$F$6+Q82</f>
        <v>-2.035372876427121</v>
      </c>
      <c r="R168" s="5">
        <f>$L$6-$F$6+R82</f>
        <v>-2.1547205776013643</v>
      </c>
      <c r="S168" s="5">
        <f>$L$6-$F$6+S82</f>
        <v>-2.226656703970926</v>
      </c>
      <c r="T168" s="5">
        <f>$L$6-$F$6+T82</f>
        <v>-2.2423678134249445</v>
      </c>
      <c r="U168" s="5">
        <f>$L$6-$F$6+U82</f>
        <v>-2.189699507410178</v>
      </c>
      <c r="V168" s="5">
        <f>$L$6-$F$6+V82</f>
        <v>-2.0520898998964148</v>
      </c>
      <c r="W168" s="5">
        <f>$L$6-$F$6+W82</f>
        <v>-1.8099922658192025</v>
      </c>
      <c r="X168" s="5">
        <f>$L$6-$F$6+X82</f>
        <v>-1.4501767179696312</v>
      </c>
      <c r="Y168" s="5">
        <f>$L$6-$F$6+Y82</f>
        <v>-0.9894601421401394</v>
      </c>
      <c r="Z168" s="5">
        <f>$L$6-$F$6+Z82</f>
        <v>-0.5</v>
      </c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/>
      <c r="FC168" s="108"/>
      <c r="FD168" s="108"/>
      <c r="FE168" s="108"/>
      <c r="FF168" s="108"/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/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L168" s="108"/>
      <c r="GM168" s="108"/>
      <c r="GN168" s="108"/>
      <c r="GO168" s="108"/>
      <c r="GP168" s="108"/>
      <c r="GQ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  <c r="II168" s="108"/>
      <c r="IJ168" s="108"/>
      <c r="IK168" s="108"/>
      <c r="IL168" s="108"/>
      <c r="IM168" s="108"/>
      <c r="IN168" s="108"/>
      <c r="IO168" s="108"/>
      <c r="IP168" s="108"/>
      <c r="IQ168" s="108"/>
      <c r="IR168" s="108"/>
      <c r="IS168" s="108"/>
      <c r="IT168" s="108"/>
      <c r="IU168" s="108"/>
      <c r="IV168" s="108"/>
    </row>
    <row r="169" spans="1:256" ht="12.75">
      <c r="A169" t="s">
        <v>221</v>
      </c>
      <c r="B169" s="5">
        <f aca="true" t="shared" si="43" ref="B169:AG169">B83</f>
        <v>1.0318309592430408</v>
      </c>
      <c r="C169" s="5">
        <f t="shared" si="43"/>
        <v>0.7597168094781694</v>
      </c>
      <c r="D169" s="5">
        <f t="shared" si="43"/>
        <v>0.40534768131483045</v>
      </c>
      <c r="E169" s="5">
        <f t="shared" si="43"/>
        <v>0.08955779490380314</v>
      </c>
      <c r="F169" s="5">
        <f t="shared" si="43"/>
        <v>-0.1474588546659738</v>
      </c>
      <c r="G169" s="5">
        <f t="shared" si="43"/>
        <v>-0.31253974380387173</v>
      </c>
      <c r="H169" s="5">
        <f t="shared" si="43"/>
        <v>-0.42423015827495547</v>
      </c>
      <c r="I169" s="5">
        <f t="shared" si="43"/>
        <v>-0.4981023377984709</v>
      </c>
      <c r="J169" s="5">
        <f t="shared" si="43"/>
        <v>-0.5438698917434165</v>
      </c>
      <c r="K169" s="5">
        <f t="shared" si="43"/>
        <v>-0.5665417959778322</v>
      </c>
      <c r="L169" s="5">
        <f t="shared" si="43"/>
        <v>-0.5683592026035562</v>
      </c>
      <c r="M169" s="5">
        <f t="shared" si="43"/>
        <v>-0.5504840453068668</v>
      </c>
      <c r="N169" s="5">
        <f t="shared" si="43"/>
        <v>-0.5141066675092356</v>
      </c>
      <c r="O169" s="5">
        <f t="shared" si="43"/>
        <v>-0.4608442687726698</v>
      </c>
      <c r="P169" s="5">
        <f t="shared" si="43"/>
        <v>-0.3924704067746284</v>
      </c>
      <c r="Q169" s="5">
        <f t="shared" si="43"/>
        <v>-0.31018655798527495</v>
      </c>
      <c r="R169" s="5">
        <f t="shared" si="43"/>
        <v>-0.21371072261248786</v>
      </c>
      <c r="S169" s="5">
        <f t="shared" si="43"/>
        <v>-0.10038959826638999</v>
      </c>
      <c r="T169" s="5">
        <f t="shared" si="43"/>
        <v>0.03551278970231091</v>
      </c>
      <c r="U169" s="5">
        <f t="shared" si="43"/>
        <v>0.2029000265509489</v>
      </c>
      <c r="V169" s="5">
        <f t="shared" si="43"/>
        <v>0.4115213149332594</v>
      </c>
      <c r="W169" s="5">
        <f t="shared" si="43"/>
        <v>0.6620421499440261</v>
      </c>
      <c r="X169" s="5">
        <f t="shared" si="43"/>
        <v>0.9200598172729737</v>
      </c>
      <c r="Y169" s="5">
        <f t="shared" si="43"/>
        <v>1.0848049060784852</v>
      </c>
      <c r="Z169" s="5">
        <f t="shared" si="43"/>
        <v>1.031830959243041</v>
      </c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  <c r="IM169" s="108"/>
      <c r="IN169" s="108"/>
      <c r="IO169" s="108"/>
      <c r="IP169" s="108"/>
      <c r="IQ169" s="108"/>
      <c r="IR169" s="108"/>
      <c r="IS169" s="108"/>
      <c r="IT169" s="108"/>
      <c r="IU169" s="108"/>
      <c r="IV169" s="108"/>
    </row>
    <row r="170" spans="1:256" ht="12.75">
      <c r="A170" t="s">
        <v>222</v>
      </c>
      <c r="B170" s="5">
        <f>B84</f>
        <v>1.7871836462314779</v>
      </c>
      <c r="C170" s="5">
        <f>C84</f>
        <v>1.3158681133803127</v>
      </c>
      <c r="D170" s="5">
        <f>D84</f>
        <v>0.7020827787675237</v>
      </c>
      <c r="E170" s="5">
        <f>E84</f>
        <v>0.15511865098721997</v>
      </c>
      <c r="F170" s="5">
        <f>F84</f>
        <v>-0.2554062283073815</v>
      </c>
      <c r="G170" s="5">
        <f>G84</f>
        <v>-0.5413347156528657</v>
      </c>
      <c r="H170" s="5">
        <f>H84</f>
        <v>-0.7347881882352091</v>
      </c>
      <c r="I170" s="5">
        <f>I84</f>
        <v>-0.8627385564357868</v>
      </c>
      <c r="J170" s="5">
        <f>J84</f>
        <v>-0.9420102852065819</v>
      </c>
      <c r="K170" s="5">
        <f>K84</f>
        <v>-0.9812791752449256</v>
      </c>
      <c r="L170" s="5">
        <f>L84</f>
        <v>-0.9844270158586921</v>
      </c>
      <c r="M170" s="5">
        <f>M84</f>
        <v>-0.9534663352275407</v>
      </c>
      <c r="N170" s="5">
        <f>N84</f>
        <v>-0.8904588686359157</v>
      </c>
      <c r="O170" s="5">
        <f>O84</f>
        <v>-0.7982056878911911</v>
      </c>
      <c r="P170" s="5">
        <f>P84</f>
        <v>-0.6797786850008805</v>
      </c>
      <c r="Q170" s="5">
        <f>Q84</f>
        <v>-0.5372588782554056</v>
      </c>
      <c r="R170" s="5">
        <f>R84</f>
        <v>-0.3701578296870878</v>
      </c>
      <c r="S170" s="5">
        <f>S84</f>
        <v>-0.1738798847488159</v>
      </c>
      <c r="T170" s="5">
        <f>T84</f>
        <v>0.06150995608291132</v>
      </c>
      <c r="U170" s="5">
        <f>U84</f>
        <v>0.35143315484331766</v>
      </c>
      <c r="V170" s="5">
        <f>V84</f>
        <v>0.712775825861958</v>
      </c>
      <c r="W170" s="5">
        <f>W84</f>
        <v>1.1466906404551862</v>
      </c>
      <c r="X170" s="5">
        <f>X84</f>
        <v>1.5935903495193275</v>
      </c>
      <c r="Y170" s="5">
        <f>Y84</f>
        <v>1.87893721362792</v>
      </c>
      <c r="Z170" s="5">
        <f>Z84</f>
        <v>1.7871836462314783</v>
      </c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  <c r="II170" s="108"/>
      <c r="IJ170" s="108"/>
      <c r="IK170" s="108"/>
      <c r="IL170" s="108"/>
      <c r="IM170" s="108"/>
      <c r="IN170" s="108"/>
      <c r="IO170" s="108"/>
      <c r="IP170" s="108"/>
      <c r="IQ170" s="108"/>
      <c r="IR170" s="108"/>
      <c r="IS170" s="108"/>
      <c r="IT170" s="108"/>
      <c r="IU170" s="108"/>
      <c r="IV170" s="108"/>
    </row>
    <row r="171" spans="1:256" ht="12.75">
      <c r="A171" t="s">
        <v>223</v>
      </c>
      <c r="B171" s="5">
        <f>B85</f>
        <v>-0.6802853645796936</v>
      </c>
      <c r="C171" s="5">
        <f>C85</f>
        <v>-1.2973860662146965</v>
      </c>
      <c r="D171" s="5">
        <f>D85</f>
        <v>-1.32956902646237</v>
      </c>
      <c r="E171" s="5">
        <f>E85</f>
        <v>-1.0604957304400662</v>
      </c>
      <c r="F171" s="5">
        <f>F85</f>
        <v>-0.7568453482146065</v>
      </c>
      <c r="G171" s="5">
        <f>G85</f>
        <v>-0.5169032430580287</v>
      </c>
      <c r="H171" s="5">
        <f>H85</f>
        <v>-0.34637645491690233</v>
      </c>
      <c r="I171" s="5">
        <f>I85</f>
        <v>-0.22405065273809452</v>
      </c>
      <c r="J171" s="5">
        <f>J85</f>
        <v>-0.1286460373643029</v>
      </c>
      <c r="K171" s="5">
        <f>K85</f>
        <v>-0.04587135369315666</v>
      </c>
      <c r="L171" s="5">
        <f>L85</f>
        <v>0.0313194230297727</v>
      </c>
      <c r="M171" s="5">
        <f>M85</f>
        <v>0.10450396672736367</v>
      </c>
      <c r="N171" s="5">
        <f>N85</f>
        <v>0.1723498533990611</v>
      </c>
      <c r="O171" s="5">
        <f>O85</f>
        <v>0.23336668897460855</v>
      </c>
      <c r="P171" s="5">
        <f>P85</f>
        <v>0.28814633771940545</v>
      </c>
      <c r="Q171" s="5">
        <f>Q85</f>
        <v>0.34057802939970794</v>
      </c>
      <c r="R171" s="5">
        <f>R85</f>
        <v>0.39808420113249254</v>
      </c>
      <c r="S171" s="5">
        <f>S85</f>
        <v>0.47125880388679886</v>
      </c>
      <c r="T171" s="5">
        <f>T85</f>
        <v>0.572731845052914</v>
      </c>
      <c r="U171" s="5">
        <f>U85</f>
        <v>0.7127542438978508</v>
      </c>
      <c r="V171" s="5">
        <f>V85</f>
        <v>0.8830514482891489</v>
      </c>
      <c r="W171" s="5">
        <f>W85</f>
        <v>1.0116410221732657</v>
      </c>
      <c r="X171" s="5">
        <f>X85</f>
        <v>0.8937512915065586</v>
      </c>
      <c r="Y171" s="5">
        <f>Y85</f>
        <v>0.2728920165890684</v>
      </c>
      <c r="Z171" s="5">
        <f>Z85</f>
        <v>-0.6802853645796937</v>
      </c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  <c r="IP171" s="108"/>
      <c r="IQ171" s="108"/>
      <c r="IR171" s="108"/>
      <c r="IS171" s="108"/>
      <c r="IT171" s="108"/>
      <c r="IU171" s="108"/>
      <c r="IV171" s="108"/>
    </row>
    <row r="172" spans="1:256" ht="12.75">
      <c r="A172" t="s">
        <v>224</v>
      </c>
      <c r="B172" s="5">
        <f>B86</f>
        <v>-1.1782888150975466</v>
      </c>
      <c r="C172" s="5">
        <f>C86</f>
        <v>-2.2471385837157727</v>
      </c>
      <c r="D172" s="5">
        <f>D86</f>
        <v>-2.3028811060027126</v>
      </c>
      <c r="E172" s="5">
        <f>E86</f>
        <v>-1.8368324863320618</v>
      </c>
      <c r="F172" s="5">
        <f>F86</f>
        <v>-1.3108945965798569</v>
      </c>
      <c r="G172" s="5">
        <f>G86</f>
        <v>-0.89530267957363</v>
      </c>
      <c r="H172" s="5">
        <f>H86</f>
        <v>-0.5999416184616655</v>
      </c>
      <c r="I172" s="5">
        <f>I86</f>
        <v>-0.3880671140113504</v>
      </c>
      <c r="J172" s="5">
        <f>J86</f>
        <v>-0.22282147290737692</v>
      </c>
      <c r="K172" s="5">
        <f>K86</f>
        <v>-0.07945151520850961</v>
      </c>
      <c r="L172" s="5">
        <f>L86</f>
        <v>0.05424683195130915</v>
      </c>
      <c r="M172" s="5">
        <f>M86</f>
        <v>0.181006179964281</v>
      </c>
      <c r="N172" s="5">
        <f>N86</f>
        <v>0.2985187027642212</v>
      </c>
      <c r="O172" s="5">
        <f>O86</f>
        <v>0.4042029620981456</v>
      </c>
      <c r="P172" s="5">
        <f>P86</f>
        <v>0.49908409694491046</v>
      </c>
      <c r="Q172" s="5">
        <f>Q86</f>
        <v>0.5898984508619808</v>
      </c>
      <c r="R172" s="5">
        <f>R86</f>
        <v>0.6895020620519449</v>
      </c>
      <c r="S172" s="5">
        <f>S86</f>
        <v>0.8162441918460729</v>
      </c>
      <c r="T172" s="5">
        <f>T86</f>
        <v>0.9920006547443128</v>
      </c>
      <c r="U172" s="5">
        <f>U86</f>
        <v>1.234526563741417</v>
      </c>
      <c r="V172" s="5">
        <f>V86</f>
        <v>1.5294899741340862</v>
      </c>
      <c r="W172" s="5">
        <f>W86</f>
        <v>1.7522136494250093</v>
      </c>
      <c r="X172" s="5">
        <f>X86</f>
        <v>1.5480226462196611</v>
      </c>
      <c r="Y172" s="5">
        <f>Y86</f>
        <v>0.47266283771219664</v>
      </c>
      <c r="Z172" s="5">
        <f>Z86</f>
        <v>-1.1782888150975466</v>
      </c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/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/>
      <c r="EL172" s="108"/>
      <c r="EM172" s="108"/>
      <c r="EN172" s="108"/>
      <c r="EO172" s="108"/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/>
      <c r="FB172" s="108"/>
      <c r="FC172" s="108"/>
      <c r="FD172" s="108"/>
      <c r="FE172" s="108"/>
      <c r="FF172" s="108"/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/>
      <c r="FR172" s="108"/>
      <c r="FS172" s="108"/>
      <c r="FT172" s="108"/>
      <c r="FU172" s="108"/>
      <c r="FV172" s="108"/>
      <c r="FW172" s="108"/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I172" s="108"/>
      <c r="GJ172" s="108"/>
      <c r="GK172" s="108"/>
      <c r="GL172" s="108"/>
      <c r="GM172" s="108"/>
      <c r="GN172" s="108"/>
      <c r="GO172" s="108"/>
      <c r="GP172" s="108"/>
      <c r="GQ172" s="108"/>
      <c r="GR172" s="108"/>
      <c r="GS172" s="108"/>
      <c r="GT172" s="108"/>
      <c r="GU172" s="108"/>
      <c r="GV172" s="108"/>
      <c r="GW172" s="108"/>
      <c r="GX172" s="108"/>
      <c r="GY172" s="108"/>
      <c r="GZ172" s="108"/>
      <c r="HA172" s="108"/>
      <c r="HB172" s="108"/>
      <c r="HC172" s="108"/>
      <c r="HD172" s="108"/>
      <c r="HE172" s="108"/>
      <c r="HF172" s="108"/>
      <c r="HG172" s="108"/>
      <c r="HH172" s="108"/>
      <c r="HI172" s="108"/>
      <c r="HJ172" s="108"/>
      <c r="HK172" s="108"/>
      <c r="HL172" s="108"/>
      <c r="HM172" s="108"/>
      <c r="HN172" s="108"/>
      <c r="HO172" s="108"/>
      <c r="HP172" s="108"/>
      <c r="HQ172" s="108"/>
      <c r="HR172" s="108"/>
      <c r="HS172" s="108"/>
      <c r="HT172" s="108"/>
      <c r="HU172" s="108"/>
      <c r="HV172" s="108"/>
      <c r="HW172" s="108"/>
      <c r="HX172" s="108"/>
      <c r="HY172" s="108"/>
      <c r="HZ172" s="108"/>
      <c r="IA172" s="108"/>
      <c r="IB172" s="108"/>
      <c r="IC172" s="108"/>
      <c r="ID172" s="108"/>
      <c r="IE172" s="108"/>
      <c r="IF172" s="108"/>
      <c r="IG172" s="108"/>
      <c r="IH172" s="108"/>
      <c r="II172" s="108"/>
      <c r="IJ172" s="108"/>
      <c r="IK172" s="108"/>
      <c r="IL172" s="108"/>
      <c r="IM172" s="108"/>
      <c r="IN172" s="108"/>
      <c r="IO172" s="108"/>
      <c r="IP172" s="108"/>
      <c r="IQ172" s="108"/>
      <c r="IR172" s="108"/>
      <c r="IS172" s="108"/>
      <c r="IT172" s="108"/>
      <c r="IU172" s="108"/>
      <c r="IV172" s="108"/>
    </row>
    <row r="173" spans="1:256" s="117" customFormat="1" ht="12.75">
      <c r="A173" s="35"/>
      <c r="B173" s="89" t="s">
        <v>238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6"/>
      <c r="FF173" s="116"/>
      <c r="FG173" s="116"/>
      <c r="FH173" s="116"/>
      <c r="FI173" s="116"/>
      <c r="FJ173" s="116"/>
      <c r="FK173" s="116"/>
      <c r="FL173" s="116"/>
      <c r="FM173" s="116"/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  <c r="GH173" s="116"/>
      <c r="GI173" s="116"/>
      <c r="GJ173" s="116"/>
      <c r="GK173" s="116"/>
      <c r="GL173" s="116"/>
      <c r="GM173" s="116"/>
      <c r="GN173" s="116"/>
      <c r="GO173" s="116"/>
      <c r="GP173" s="116"/>
      <c r="GQ173" s="116"/>
      <c r="GR173" s="116"/>
      <c r="GS173" s="116"/>
      <c r="GT173" s="116"/>
      <c r="GU173" s="116"/>
      <c r="GV173" s="116"/>
      <c r="GW173" s="116"/>
      <c r="GX173" s="116"/>
      <c r="GY173" s="116"/>
      <c r="GZ173" s="116"/>
      <c r="HA173" s="116"/>
      <c r="HB173" s="116"/>
      <c r="HC173" s="116"/>
      <c r="HD173" s="116"/>
      <c r="HE173" s="116"/>
      <c r="HF173" s="116"/>
      <c r="HG173" s="116"/>
      <c r="HH173" s="116"/>
      <c r="HI173" s="116"/>
      <c r="HJ173" s="116"/>
      <c r="HK173" s="116"/>
      <c r="HL173" s="116"/>
      <c r="HM173" s="116"/>
      <c r="HN173" s="116"/>
      <c r="HO173" s="116"/>
      <c r="HP173" s="116"/>
      <c r="HQ173" s="116"/>
      <c r="HR173" s="116"/>
      <c r="HS173" s="116"/>
      <c r="HT173" s="116"/>
      <c r="HU173" s="116"/>
      <c r="HV173" s="116"/>
      <c r="HW173" s="116"/>
      <c r="HX173" s="116"/>
      <c r="HY173" s="116"/>
      <c r="HZ173" s="116"/>
      <c r="IA173" s="116"/>
      <c r="IB173" s="116"/>
      <c r="IC173" s="116"/>
      <c r="ID173" s="116"/>
      <c r="IE173" s="116"/>
      <c r="IF173" s="116"/>
      <c r="IG173" s="116"/>
      <c r="IH173" s="116"/>
      <c r="II173" s="116"/>
      <c r="IJ173" s="116"/>
      <c r="IK173" s="116"/>
      <c r="IL173" s="116"/>
      <c r="IM173" s="116"/>
      <c r="IN173" s="116"/>
      <c r="IO173" s="116"/>
      <c r="IP173" s="116"/>
      <c r="IQ173" s="116"/>
      <c r="IR173" s="116"/>
      <c r="IS173" s="116"/>
      <c r="IT173" s="116"/>
      <c r="IU173" s="116"/>
      <c r="IV173" s="116"/>
    </row>
    <row r="174" spans="1:256" ht="12.75">
      <c r="A174" t="s">
        <v>225</v>
      </c>
      <c r="B174" s="5">
        <f>$L$7-$F$9+B90</f>
        <v>12</v>
      </c>
      <c r="C174" s="5">
        <f>$L$7-$F$9+C90</f>
        <v>12.722445087373377</v>
      </c>
      <c r="D174" s="5">
        <f>$L$7-$F$9+D90</f>
        <v>13.206669250456745</v>
      </c>
      <c r="E174" s="5">
        <f>$L$7-$F$9+E90</f>
        <v>13.414514123263686</v>
      </c>
      <c r="F174" s="5">
        <f>$L$7-$F$9+F90</f>
        <v>13.383553062860658</v>
      </c>
      <c r="G174" s="5">
        <f>$L$7-$F$9+G90</f>
        <v>13.181727007860767</v>
      </c>
      <c r="H174" s="5">
        <f>$L$7-$F$9+H90</f>
        <v>12.87096899133439</v>
      </c>
      <c r="I174" s="5">
        <f>$L$7-$F$9+I90</f>
        <v>12.495067270346453</v>
      </c>
      <c r="J174" s="5">
        <f>$L$7-$F$9+J90</f>
        <v>12.081476442749349</v>
      </c>
      <c r="K174" s="5">
        <f>$L$7-$F$9+K90</f>
        <v>11.646845061326193</v>
      </c>
      <c r="L174" s="5">
        <f>$L$7-$F$9+L90</f>
        <v>11.20201275547231</v>
      </c>
      <c r="M174" s="5">
        <f>$L$7-$F$9+M90</f>
        <v>10.755632725161764</v>
      </c>
      <c r="N174" s="5">
        <f>$L$7-$F$9+N90</f>
        <v>10.316647422878138</v>
      </c>
      <c r="O174" s="5">
        <f>$L$7-$F$9+O90</f>
        <v>9.895977017787967</v>
      </c>
      <c r="P174" s="5">
        <f>$L$7-$F$9+P90</f>
        <v>9.507680049916129</v>
      </c>
      <c r="Q174" s="5">
        <f>$L$7-$F$9+Q90</f>
        <v>9.169730172342199</v>
      </c>
      <c r="R174" s="5">
        <f>$L$7-$F$9+R90</f>
        <v>8.904436475550437</v>
      </c>
      <c r="S174" s="5">
        <f>$L$7-$F$9+S90</f>
        <v>8.73837278601304</v>
      </c>
      <c r="T174" s="5">
        <f>$L$7-$F$9+T90</f>
        <v>8.701433790555825</v>
      </c>
      <c r="U174" s="5">
        <f>$L$7-$F$9+U90</f>
        <v>8.824303652736013</v>
      </c>
      <c r="V174" s="5">
        <f>$L$7-$F$9+V90</f>
        <v>9.133285263787386</v>
      </c>
      <c r="W174" s="5">
        <f>$L$7-$F$9+W90</f>
        <v>9.641319247435575</v>
      </c>
      <c r="X174" s="5">
        <f>$L$7-$F$9+X90</f>
        <v>10.3346200894768</v>
      </c>
      <c r="Y174" s="5">
        <f>$L$7-$F$9+Y90</f>
        <v>11.156862161222094</v>
      </c>
      <c r="Z174" s="5">
        <f>$L$7-$F$9+Z90</f>
        <v>12</v>
      </c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8"/>
      <c r="DT174" s="108"/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/>
      <c r="EJ174" s="108"/>
      <c r="EK174" s="108"/>
      <c r="EL174" s="108"/>
      <c r="EM174" s="108"/>
      <c r="EN174" s="108"/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/>
      <c r="FB174" s="108"/>
      <c r="FC174" s="108"/>
      <c r="FD174" s="108"/>
      <c r="FE174" s="108"/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108"/>
      <c r="HI174" s="108"/>
      <c r="HJ174" s="108"/>
      <c r="HK174" s="108"/>
      <c r="HL174" s="108"/>
      <c r="HM174" s="108"/>
      <c r="HN174" s="108"/>
      <c r="HO174" s="108"/>
      <c r="HP174" s="108"/>
      <c r="HQ174" s="108"/>
      <c r="HR174" s="108"/>
      <c r="HS174" s="108"/>
      <c r="HT174" s="108"/>
      <c r="HU174" s="108"/>
      <c r="HV174" s="108"/>
      <c r="HW174" s="108"/>
      <c r="HX174" s="108"/>
      <c r="HY174" s="108"/>
      <c r="HZ174" s="108"/>
      <c r="IA174" s="108"/>
      <c r="IB174" s="108"/>
      <c r="IC174" s="108"/>
      <c r="ID174" s="108"/>
      <c r="IE174" s="108"/>
      <c r="IF174" s="108"/>
      <c r="IG174" s="108"/>
      <c r="IH174" s="108"/>
      <c r="II174" s="108"/>
      <c r="IJ174" s="108"/>
      <c r="IK174" s="108"/>
      <c r="IL174" s="108"/>
      <c r="IM174" s="108"/>
      <c r="IN174" s="108"/>
      <c r="IO174" s="108"/>
      <c r="IP174" s="108"/>
      <c r="IQ174" s="108"/>
      <c r="IR174" s="108"/>
      <c r="IS174" s="108"/>
      <c r="IT174" s="108"/>
      <c r="IU174" s="108"/>
      <c r="IV174" s="108"/>
    </row>
    <row r="175" spans="1:256" ht="12.75">
      <c r="A175" t="s">
        <v>226</v>
      </c>
      <c r="B175" s="5">
        <f>$L$8-$F$10-B91</f>
        <v>-4.135867492455363</v>
      </c>
      <c r="C175" s="5">
        <f>$L$8-$F$10-C91</f>
        <v>-4.19907324762053</v>
      </c>
      <c r="D175" s="5">
        <f>$L$8-$F$10-D91</f>
        <v>-4.241437372495653</v>
      </c>
      <c r="E175" s="5">
        <f>$L$8-$F$10-E91</f>
        <v>-4.259621442638247</v>
      </c>
      <c r="F175" s="5">
        <f>$L$8-$F$10-F91</f>
        <v>-4.256912700842241</v>
      </c>
      <c r="G175" s="5">
        <f>$L$8-$F$10-G91</f>
        <v>-4.2392552090255915</v>
      </c>
      <c r="H175" s="5">
        <f>$L$8-$F$10-H91</f>
        <v>-4.212067405479731</v>
      </c>
      <c r="I175" s="5">
        <f>$L$8-$F$10-I91</f>
        <v>-4.179180266293402</v>
      </c>
      <c r="J175" s="5">
        <f>$L$8-$F$10-J91</f>
        <v>-4.1429957575403495</v>
      </c>
      <c r="K175" s="5">
        <f>$L$8-$F$10-K91</f>
        <v>-4.104970438853212</v>
      </c>
      <c r="L175" s="5">
        <f>$L$8-$F$10-L91</f>
        <v>-4.0660526549209015</v>
      </c>
      <c r="M175" s="5">
        <f>$L$8-$F$10-M91</f>
        <v>-4.026999462644369</v>
      </c>
      <c r="N175" s="5">
        <f>$L$8-$F$10-N91</f>
        <v>-3.9885932252400513</v>
      </c>
      <c r="O175" s="5">
        <f>$L$8-$F$10-O91</f>
        <v>-3.951789333713804</v>
      </c>
      <c r="P175" s="5">
        <f>$L$8-$F$10-P91</f>
        <v>-3.917817750943528</v>
      </c>
      <c r="Q175" s="5">
        <f>$L$8-$F$10-Q91</f>
        <v>-3.888250967815835</v>
      </c>
      <c r="R175" s="5">
        <f>$L$8-$F$10-R91</f>
        <v>-3.8650407768416715</v>
      </c>
      <c r="S175" s="5">
        <f>$L$8-$F$10-S91</f>
        <v>-3.850512086583861</v>
      </c>
      <c r="T175" s="5">
        <f>$L$8-$F$10-T91</f>
        <v>-3.8472803432393183</v>
      </c>
      <c r="U175" s="5">
        <f>$L$8-$F$10-U91</f>
        <v>-3.8580300632690783</v>
      </c>
      <c r="V175" s="5">
        <f>$L$8-$F$10-V91</f>
        <v>-3.8850624514740497</v>
      </c>
      <c r="W175" s="5">
        <f>$L$8-$F$10-W91</f>
        <v>-3.9295096657291806</v>
      </c>
      <c r="X175" s="5">
        <f>$L$8-$F$10-X91</f>
        <v>-3.9901656298207655</v>
      </c>
      <c r="Y175" s="5">
        <f>$L$8-$F$10-Y91</f>
        <v>-4.062102489772548</v>
      </c>
      <c r="Z175" s="5">
        <f>$L$8-$F$10-Z91</f>
        <v>-4.135867492455363</v>
      </c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/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  <c r="GI175" s="108"/>
      <c r="GJ175" s="108"/>
      <c r="GK175" s="108"/>
      <c r="GL175" s="108"/>
      <c r="GM175" s="108"/>
      <c r="GN175" s="108"/>
      <c r="GO175" s="108"/>
      <c r="GP175" s="108"/>
      <c r="GQ175" s="108"/>
      <c r="GR175" s="108"/>
      <c r="GS175" s="108"/>
      <c r="GT175" s="108"/>
      <c r="GU175" s="108"/>
      <c r="GV175" s="108"/>
      <c r="GW175" s="108"/>
      <c r="GX175" s="108"/>
      <c r="GY175" s="108"/>
      <c r="GZ175" s="108"/>
      <c r="HA175" s="108"/>
      <c r="HB175" s="108"/>
      <c r="HC175" s="108"/>
      <c r="HD175" s="108"/>
      <c r="HE175" s="108"/>
      <c r="HF175" s="108"/>
      <c r="HG175" s="108"/>
      <c r="HH175" s="108"/>
      <c r="HI175" s="108"/>
      <c r="HJ175" s="108"/>
      <c r="HK175" s="108"/>
      <c r="HL175" s="108"/>
      <c r="HM175" s="108"/>
      <c r="HN175" s="108"/>
      <c r="HO175" s="108"/>
      <c r="HP175" s="108"/>
      <c r="HQ175" s="108"/>
      <c r="HR175" s="108"/>
      <c r="HS175" s="108"/>
      <c r="HT175" s="108"/>
      <c r="HU175" s="108"/>
      <c r="HV175" s="108"/>
      <c r="HW175" s="108"/>
      <c r="HX175" s="108"/>
      <c r="HY175" s="108"/>
      <c r="HZ175" s="108"/>
      <c r="IA175" s="108"/>
      <c r="IB175" s="108"/>
      <c r="IC175" s="108"/>
      <c r="ID175" s="108"/>
      <c r="IE175" s="108"/>
      <c r="IF175" s="108"/>
      <c r="IG175" s="108"/>
      <c r="IH175" s="108"/>
      <c r="II175" s="108"/>
      <c r="IJ175" s="108"/>
      <c r="IK175" s="108"/>
      <c r="IL175" s="108"/>
      <c r="IM175" s="108"/>
      <c r="IN175" s="108"/>
      <c r="IO175" s="108"/>
      <c r="IP175" s="108"/>
      <c r="IQ175" s="108"/>
      <c r="IR175" s="108"/>
      <c r="IS175" s="108"/>
      <c r="IT175" s="108"/>
      <c r="IU175" s="108"/>
      <c r="IV175" s="108"/>
    </row>
    <row r="176" spans="1:256" ht="12.75">
      <c r="A176" t="s">
        <v>227</v>
      </c>
      <c r="B176" s="5">
        <f aca="true" t="shared" si="44" ref="B176:AG176">B94</f>
        <v>3.081762542908837</v>
      </c>
      <c r="C176" s="5">
        <f t="shared" si="44"/>
        <v>2.3582059883907016</v>
      </c>
      <c r="D176" s="5">
        <f t="shared" si="44"/>
        <v>1.3172268676771834</v>
      </c>
      <c r="E176" s="5">
        <f t="shared" si="44"/>
        <v>0.2979988559650754</v>
      </c>
      <c r="F176" s="5">
        <f t="shared" si="44"/>
        <v>-0.48886966920418734</v>
      </c>
      <c r="G176" s="5">
        <f t="shared" si="44"/>
        <v>-1.0129051574832533</v>
      </c>
      <c r="H176" s="5">
        <f t="shared" si="44"/>
        <v>-1.3334461005666882</v>
      </c>
      <c r="I176" s="5">
        <f t="shared" si="44"/>
        <v>-1.5211379588059413</v>
      </c>
      <c r="J176" s="5">
        <f t="shared" si="44"/>
        <v>-1.6281867379583215</v>
      </c>
      <c r="K176" s="5">
        <f t="shared" si="44"/>
        <v>-1.6854790809663056</v>
      </c>
      <c r="L176" s="5">
        <f t="shared" si="44"/>
        <v>-1.7074347279999176</v>
      </c>
      <c r="M176" s="5">
        <f t="shared" si="44"/>
        <v>-1.6970697248708937</v>
      </c>
      <c r="N176" s="5">
        <f t="shared" si="44"/>
        <v>-1.6496515503413047</v>
      </c>
      <c r="O176" s="5">
        <f t="shared" si="44"/>
        <v>-1.5551328022935653</v>
      </c>
      <c r="P176" s="5">
        <f t="shared" si="44"/>
        <v>-1.3998229846731736</v>
      </c>
      <c r="Q176" s="5">
        <f t="shared" si="44"/>
        <v>-1.1677203230493183</v>
      </c>
      <c r="R176" s="5">
        <f t="shared" si="44"/>
        <v>-0.8420031698468435</v>
      </c>
      <c r="S176" s="5">
        <f t="shared" si="44"/>
        <v>-0.40744709768475884</v>
      </c>
      <c r="T176" s="5">
        <f t="shared" si="44"/>
        <v>0.14510569191573525</v>
      </c>
      <c r="U176" s="5">
        <f t="shared" si="44"/>
        <v>0.8108599686926425</v>
      </c>
      <c r="V176" s="5">
        <f t="shared" si="44"/>
        <v>1.5586857693547491</v>
      </c>
      <c r="W176" s="5">
        <f t="shared" si="44"/>
        <v>2.314707964587011</v>
      </c>
      <c r="X176" s="5">
        <f t="shared" si="44"/>
        <v>2.94665184635485</v>
      </c>
      <c r="Y176" s="5">
        <f t="shared" si="44"/>
        <v>3.265101589795986</v>
      </c>
      <c r="Z176" s="5">
        <f t="shared" si="44"/>
        <v>3.081762542908838</v>
      </c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8"/>
      <c r="EO176" s="108"/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/>
      <c r="FB176" s="108"/>
      <c r="FC176" s="108"/>
      <c r="FD176" s="108"/>
      <c r="FE176" s="108"/>
      <c r="FF176" s="108"/>
      <c r="FG176" s="108"/>
      <c r="FH176" s="108"/>
      <c r="FI176" s="108"/>
      <c r="FJ176" s="108"/>
      <c r="FK176" s="108"/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/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08"/>
      <c r="GK176" s="108"/>
      <c r="GL176" s="108"/>
      <c r="GM176" s="108"/>
      <c r="GN176" s="108"/>
      <c r="GO176" s="108"/>
      <c r="GP176" s="108"/>
      <c r="GQ176" s="108"/>
      <c r="GR176" s="108"/>
      <c r="GS176" s="108"/>
      <c r="GT176" s="108"/>
      <c r="GU176" s="108"/>
      <c r="GV176" s="108"/>
      <c r="GW176" s="108"/>
      <c r="GX176" s="108"/>
      <c r="GY176" s="108"/>
      <c r="GZ176" s="108"/>
      <c r="HA176" s="108"/>
      <c r="HB176" s="108"/>
      <c r="HC176" s="108"/>
      <c r="HD176" s="108"/>
      <c r="HE176" s="108"/>
      <c r="HF176" s="108"/>
      <c r="HG176" s="108"/>
      <c r="HH176" s="108"/>
      <c r="HI176" s="108"/>
      <c r="HJ176" s="108"/>
      <c r="HK176" s="108"/>
      <c r="HL176" s="108"/>
      <c r="HM176" s="108"/>
      <c r="HN176" s="108"/>
      <c r="HO176" s="108"/>
      <c r="HP176" s="108"/>
      <c r="HQ176" s="108"/>
      <c r="HR176" s="108"/>
      <c r="HS176" s="108"/>
      <c r="HT176" s="108"/>
      <c r="HU176" s="108"/>
      <c r="HV176" s="108"/>
      <c r="HW176" s="108"/>
      <c r="HX176" s="108"/>
      <c r="HY176" s="108"/>
      <c r="HZ176" s="108"/>
      <c r="IA176" s="108"/>
      <c r="IB176" s="108"/>
      <c r="IC176" s="108"/>
      <c r="ID176" s="108"/>
      <c r="IE176" s="108"/>
      <c r="IF176" s="108"/>
      <c r="IG176" s="108"/>
      <c r="IH176" s="108"/>
      <c r="II176" s="108"/>
      <c r="IJ176" s="108"/>
      <c r="IK176" s="108"/>
      <c r="IL176" s="108"/>
      <c r="IM176" s="108"/>
      <c r="IN176" s="108"/>
      <c r="IO176" s="108"/>
      <c r="IP176" s="108"/>
      <c r="IQ176" s="108"/>
      <c r="IR176" s="108"/>
      <c r="IS176" s="108"/>
      <c r="IT176" s="108"/>
      <c r="IU176" s="108"/>
      <c r="IV176" s="108"/>
    </row>
    <row r="177" spans="1:256" ht="12.75">
      <c r="A177" t="s">
        <v>228</v>
      </c>
      <c r="B177" s="5">
        <f>B95</f>
        <v>0.26961928618334724</v>
      </c>
      <c r="C177" s="5">
        <f>C95</f>
        <v>0.2063162902431332</v>
      </c>
      <c r="D177" s="5">
        <f>D95</f>
        <v>0.11524241821351594</v>
      </c>
      <c r="E177" s="5">
        <f>E95</f>
        <v>0.026071521640638775</v>
      </c>
      <c r="F177" s="5">
        <f>F95</f>
        <v>-0.04277055399703492</v>
      </c>
      <c r="G177" s="5">
        <f>G95</f>
        <v>-0.08861771850672542</v>
      </c>
      <c r="H177" s="5">
        <f>H95</f>
        <v>-0.11666141722243442</v>
      </c>
      <c r="I177" s="5">
        <f>I95</f>
        <v>-0.13308232705448386</v>
      </c>
      <c r="J177" s="5">
        <f>J95</f>
        <v>-0.14244788167460742</v>
      </c>
      <c r="K177" s="5">
        <f>K95</f>
        <v>-0.14746031219464475</v>
      </c>
      <c r="L177" s="5">
        <f>L95</f>
        <v>-0.14938118241046236</v>
      </c>
      <c r="M177" s="5">
        <f>M95</f>
        <v>-0.14847436213926204</v>
      </c>
      <c r="N177" s="5">
        <f>N95</f>
        <v>-0.1443258094228293</v>
      </c>
      <c r="O177" s="5">
        <f>O95</f>
        <v>-0.13605649047798907</v>
      </c>
      <c r="P177" s="5">
        <f>P95</f>
        <v>-0.12246864210192596</v>
      </c>
      <c r="Q177" s="5">
        <f>Q95</f>
        <v>-0.10216229043564509</v>
      </c>
      <c r="R177" s="5">
        <f>R95</f>
        <v>-0.07366573201449193</v>
      </c>
      <c r="S177" s="5">
        <f>S95</f>
        <v>-0.03564700203395616</v>
      </c>
      <c r="T177" s="5">
        <f>T95</f>
        <v>0.012695103055712153</v>
      </c>
      <c r="U177" s="5">
        <f>U95</f>
        <v>0.07094105496759189</v>
      </c>
      <c r="V177" s="5">
        <f>V95</f>
        <v>0.13636733481772365</v>
      </c>
      <c r="W177" s="5">
        <f>W95</f>
        <v>0.20251070627452944</v>
      </c>
      <c r="X177" s="5">
        <f>X95</f>
        <v>0.2577986319137822</v>
      </c>
      <c r="Y177" s="5">
        <f>Y95</f>
        <v>0.28565937436762057</v>
      </c>
      <c r="Z177" s="5">
        <f>Z95</f>
        <v>0.2696192861833473</v>
      </c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108"/>
      <c r="FF177" s="108"/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/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  <c r="GZ177" s="108"/>
      <c r="HA177" s="108"/>
      <c r="HB177" s="108"/>
      <c r="HC177" s="108"/>
      <c r="HD177" s="108"/>
      <c r="HE177" s="108"/>
      <c r="HF177" s="108"/>
      <c r="HG177" s="108"/>
      <c r="HH177" s="108"/>
      <c r="HI177" s="108"/>
      <c r="HJ177" s="108"/>
      <c r="HK177" s="108"/>
      <c r="HL177" s="108"/>
      <c r="HM177" s="108"/>
      <c r="HN177" s="108"/>
      <c r="HO177" s="108"/>
      <c r="HP177" s="108"/>
      <c r="HQ177" s="108"/>
      <c r="HR177" s="108"/>
      <c r="HS177" s="108"/>
      <c r="HT177" s="108"/>
      <c r="HU177" s="108"/>
      <c r="HV177" s="108"/>
      <c r="HW177" s="108"/>
      <c r="HX177" s="108"/>
      <c r="HY177" s="108"/>
      <c r="HZ177" s="108"/>
      <c r="IA177" s="108"/>
      <c r="IB177" s="108"/>
      <c r="IC177" s="108"/>
      <c r="ID177" s="108"/>
      <c r="IE177" s="108"/>
      <c r="IF177" s="108"/>
      <c r="IG177" s="108"/>
      <c r="IH177" s="108"/>
      <c r="II177" s="108"/>
      <c r="IJ177" s="108"/>
      <c r="IK177" s="108"/>
      <c r="IL177" s="108"/>
      <c r="IM177" s="108"/>
      <c r="IN177" s="108"/>
      <c r="IO177" s="108"/>
      <c r="IP177" s="108"/>
      <c r="IQ177" s="108"/>
      <c r="IR177" s="108"/>
      <c r="IS177" s="108"/>
      <c r="IT177" s="108"/>
      <c r="IU177" s="108"/>
      <c r="IV177" s="108"/>
    </row>
    <row r="178" spans="1:256" ht="12.75">
      <c r="A178" t="s">
        <v>229</v>
      </c>
      <c r="B178" s="5">
        <f>B96</f>
        <v>-1.789529880059503</v>
      </c>
      <c r="C178" s="5">
        <f>C96</f>
        <v>-3.5849136572407074</v>
      </c>
      <c r="D178" s="5">
        <f>D96</f>
        <v>-4.132145121398191</v>
      </c>
      <c r="E178" s="5">
        <f>E96</f>
        <v>-3.5181858855938652</v>
      </c>
      <c r="F178" s="5">
        <f>F96</f>
        <v>-2.4810966288312066</v>
      </c>
      <c r="G178" s="5">
        <f>G96</f>
        <v>-1.5651501136613513</v>
      </c>
      <c r="H178" s="5">
        <f>H96</f>
        <v>-0.930183628330784</v>
      </c>
      <c r="I178" s="5">
        <f>I96</f>
        <v>-0.5369218872843278</v>
      </c>
      <c r="J178" s="5">
        <f>J96</f>
        <v>-0.300167843018566</v>
      </c>
      <c r="K178" s="5">
        <f>K96</f>
        <v>-0.1463621256152645</v>
      </c>
      <c r="L178" s="5">
        <f>L96</f>
        <v>-0.023057634970426785</v>
      </c>
      <c r="M178" s="5">
        <f>M96</f>
        <v>0.105403721403185</v>
      </c>
      <c r="N178" s="5">
        <f>N96</f>
        <v>0.26334367384841095</v>
      </c>
      <c r="O178" s="5">
        <f>O96</f>
        <v>0.4675225830555155</v>
      </c>
      <c r="P178" s="5">
        <f>P96</f>
        <v>0.7292322196567337</v>
      </c>
      <c r="Q178" s="5">
        <f>Q96</f>
        <v>1.05475398912602</v>
      </c>
      <c r="R178" s="5">
        <f>R96</f>
        <v>1.4435053553349533</v>
      </c>
      <c r="S178" s="5">
        <f>S96</f>
        <v>1.8825790304592165</v>
      </c>
      <c r="T178" s="5">
        <f>T96</f>
        <v>2.336349453727906</v>
      </c>
      <c r="U178" s="5">
        <f>U96</f>
        <v>2.7309001513545907</v>
      </c>
      <c r="V178" s="5">
        <f>V96</f>
        <v>2.936156733069541</v>
      </c>
      <c r="W178" s="5">
        <f>W96</f>
        <v>2.755496449682529</v>
      </c>
      <c r="X178" s="5">
        <f>X96</f>
        <v>1.9485089897936725</v>
      </c>
      <c r="Y178" s="5">
        <f>Y96</f>
        <v>0.35396206547864095</v>
      </c>
      <c r="Z178" s="5">
        <f>Z96</f>
        <v>-1.7895298800595032</v>
      </c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/>
      <c r="EL178" s="108"/>
      <c r="EM178" s="108"/>
      <c r="EN178" s="108"/>
      <c r="EO178" s="108"/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/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  <c r="GZ178" s="108"/>
      <c r="HA178" s="108"/>
      <c r="HB178" s="108"/>
      <c r="HC178" s="108"/>
      <c r="HD178" s="108"/>
      <c r="HE178" s="108"/>
      <c r="HF178" s="108"/>
      <c r="HG178" s="108"/>
      <c r="HH178" s="108"/>
      <c r="HI178" s="108"/>
      <c r="HJ178" s="108"/>
      <c r="HK178" s="108"/>
      <c r="HL178" s="108"/>
      <c r="HM178" s="108"/>
      <c r="HN178" s="108"/>
      <c r="HO178" s="108"/>
      <c r="HP178" s="108"/>
      <c r="HQ178" s="108"/>
      <c r="HR178" s="108"/>
      <c r="HS178" s="108"/>
      <c r="HT178" s="108"/>
      <c r="HU178" s="108"/>
      <c r="HV178" s="108"/>
      <c r="HW178" s="108"/>
      <c r="HX178" s="108"/>
      <c r="HY178" s="108"/>
      <c r="HZ178" s="108"/>
      <c r="IA178" s="108"/>
      <c r="IB178" s="108"/>
      <c r="IC178" s="108"/>
      <c r="ID178" s="108"/>
      <c r="IE178" s="108"/>
      <c r="IF178" s="108"/>
      <c r="IG178" s="108"/>
      <c r="IH178" s="108"/>
      <c r="II178" s="108"/>
      <c r="IJ178" s="108"/>
      <c r="IK178" s="108"/>
      <c r="IL178" s="108"/>
      <c r="IM178" s="108"/>
      <c r="IN178" s="108"/>
      <c r="IO178" s="108"/>
      <c r="IP178" s="108"/>
      <c r="IQ178" s="108"/>
      <c r="IR178" s="108"/>
      <c r="IS178" s="108"/>
      <c r="IT178" s="108"/>
      <c r="IU178" s="108"/>
      <c r="IV178" s="108"/>
    </row>
    <row r="179" spans="1:256" ht="12.75">
      <c r="A179" t="s">
        <v>230</v>
      </c>
      <c r="B179" s="5">
        <f>B97</f>
        <v>-0.156563577546113</v>
      </c>
      <c r="C179" s="5">
        <f>C97</f>
        <v>-0.3136393047278219</v>
      </c>
      <c r="D179" s="5">
        <f>D97</f>
        <v>-0.3615158541662947</v>
      </c>
      <c r="E179" s="5">
        <f>E97</f>
        <v>-0.3078013811663767</v>
      </c>
      <c r="F179" s="5">
        <f>F97</f>
        <v>-0.2170678281351178</v>
      </c>
      <c r="G179" s="5">
        <f>G97</f>
        <v>-0.13693289166167968</v>
      </c>
      <c r="H179" s="5">
        <f>H97</f>
        <v>-0.08138052247635512</v>
      </c>
      <c r="I179" s="5">
        <f>I97</f>
        <v>-0.046974578336322646</v>
      </c>
      <c r="J179" s="5">
        <f>J97</f>
        <v>-0.0262612834191537</v>
      </c>
      <c r="K179" s="5">
        <f>K97</f>
        <v>-0.012805026760892898</v>
      </c>
      <c r="L179" s="5">
        <f>L97</f>
        <v>-0.0020172816676312477</v>
      </c>
      <c r="M179" s="5">
        <f>M97</f>
        <v>0.009221630716223488</v>
      </c>
      <c r="N179" s="5">
        <f>N97</f>
        <v>0.023039586073004298</v>
      </c>
      <c r="O179" s="5">
        <f>O97</f>
        <v>0.040902925959714856</v>
      </c>
      <c r="P179" s="5">
        <f>P97</f>
        <v>0.06379955229781067</v>
      </c>
      <c r="Q179" s="5">
        <f>Q97</f>
        <v>0.09227901685727248</v>
      </c>
      <c r="R179" s="5">
        <f>R97</f>
        <v>0.1262903543307691</v>
      </c>
      <c r="S179" s="5">
        <f>S97</f>
        <v>0.16470432335680663</v>
      </c>
      <c r="T179" s="5">
        <f>T97</f>
        <v>0.20440409123617714</v>
      </c>
      <c r="U179" s="5">
        <f>U97</f>
        <v>0.23892280446475672</v>
      </c>
      <c r="V179" s="5">
        <f>V97</f>
        <v>0.25688042847889736</v>
      </c>
      <c r="W179" s="5">
        <f>W97</f>
        <v>0.24107470173315296</v>
      </c>
      <c r="X179" s="5">
        <f>X97</f>
        <v>0.1704724473852967</v>
      </c>
      <c r="Y179" s="5">
        <f>Y97</f>
        <v>0.0309676680476019</v>
      </c>
      <c r="Z179" s="5">
        <f>Z97</f>
        <v>-0.15656357754611303</v>
      </c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/>
      <c r="EL179" s="108"/>
      <c r="EM179" s="108"/>
      <c r="EN179" s="108"/>
      <c r="EO179" s="108"/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/>
      <c r="FC179" s="108"/>
      <c r="FD179" s="108"/>
      <c r="FE179" s="108"/>
      <c r="FF179" s="108"/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/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  <c r="GZ179" s="108"/>
      <c r="HA179" s="108"/>
      <c r="HB179" s="108"/>
      <c r="HC179" s="108"/>
      <c r="HD179" s="108"/>
      <c r="HE179" s="108"/>
      <c r="HF179" s="108"/>
      <c r="HG179" s="108"/>
      <c r="HH179" s="108"/>
      <c r="HI179" s="108"/>
      <c r="HJ179" s="108"/>
      <c r="HK179" s="108"/>
      <c r="HL179" s="108"/>
      <c r="HM179" s="108"/>
      <c r="HN179" s="108"/>
      <c r="HO179" s="108"/>
      <c r="HP179" s="108"/>
      <c r="HQ179" s="108"/>
      <c r="HR179" s="108"/>
      <c r="HS179" s="108"/>
      <c r="HT179" s="108"/>
      <c r="HU179" s="108"/>
      <c r="HV179" s="108"/>
      <c r="HW179" s="108"/>
      <c r="HX179" s="108"/>
      <c r="HY179" s="108"/>
      <c r="HZ179" s="108"/>
      <c r="IA179" s="108"/>
      <c r="IB179" s="108"/>
      <c r="IC179" s="108"/>
      <c r="ID179" s="108"/>
      <c r="IE179" s="108"/>
      <c r="IF179" s="108"/>
      <c r="IG179" s="108"/>
      <c r="IH179" s="108"/>
      <c r="II179" s="108"/>
      <c r="IJ179" s="108"/>
      <c r="IK179" s="108"/>
      <c r="IL179" s="108"/>
      <c r="IM179" s="108"/>
      <c r="IN179" s="108"/>
      <c r="IO179" s="108"/>
      <c r="IP179" s="108"/>
      <c r="IQ179" s="108"/>
      <c r="IR179" s="108"/>
      <c r="IS179" s="108"/>
      <c r="IT179" s="108"/>
      <c r="IU179" s="108"/>
      <c r="IV179" s="108"/>
    </row>
    <row r="180" spans="1:256" s="119" customFormat="1" ht="12.75">
      <c r="A180" s="37"/>
      <c r="B180" s="38"/>
      <c r="C180" s="90" t="s">
        <v>239</v>
      </c>
      <c r="D180" s="90"/>
      <c r="E180" s="90"/>
      <c r="F180" s="90"/>
      <c r="G180" s="90"/>
      <c r="H180" s="90"/>
      <c r="I180" s="90"/>
      <c r="J180" s="90"/>
      <c r="K180" s="90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  <c r="IT180" s="118"/>
      <c r="IU180" s="118"/>
      <c r="IV180" s="118"/>
    </row>
    <row r="181" spans="1:256" ht="12.75">
      <c r="A181" t="s">
        <v>231</v>
      </c>
      <c r="B181" s="5">
        <f>B90+($L$9-$F$9)*COS(B37-$B$37)-($L$10-$F$10)*SIN(B37-$B$37)</f>
        <v>8</v>
      </c>
      <c r="C181" s="5">
        <f>C90+($L$9-$F$9)*COS(C37-$B$37)-($L$10-$F$10)*SIN(C37-$B$37)</f>
        <v>8.46244204434449</v>
      </c>
      <c r="D181" s="5">
        <f>D90+($L$9-$F$9)*COS(D37-$B$37)-($L$10-$F$10)*SIN(D37-$B$37)</f>
        <v>8.755244373776616</v>
      </c>
      <c r="E181" s="5">
        <f>E90+($L$9-$F$9)*COS(E37-$B$37)-($L$10-$F$10)*SIN(E37-$B$37)</f>
        <v>8.878590563748247</v>
      </c>
      <c r="F181" s="5">
        <f>F90+($L$9-$F$9)*COS(F37-$B$37)-($L$10-$F$10)*SIN(F37-$B$37)</f>
        <v>8.860269167317282</v>
      </c>
      <c r="G181" s="5">
        <f>G90+($L$9-$F$9)*COS(G37-$B$37)-($L$10-$F$10)*SIN(G37-$B$37)</f>
        <v>8.740374788620029</v>
      </c>
      <c r="H181" s="5">
        <f>H90+($L$9-$F$9)*COS(H37-$B$37)-($L$10-$F$10)*SIN(H37-$B$37)</f>
        <v>8.553329608490303</v>
      </c>
      <c r="I181" s="5">
        <f>I90+($L$9-$F$9)*COS(I37-$B$37)-($L$10-$F$10)*SIN(I37-$B$37)</f>
        <v>8.32088193259682</v>
      </c>
      <c r="J181" s="5">
        <f>J90+($L$9-$F$9)*COS(J37-$B$37)-($L$10-$F$10)*SIN(J37-$B$37)</f>
        <v>8.05415649033726</v>
      </c>
      <c r="K181" s="5">
        <f>K90+($L$9-$F$9)*COS(K37-$B$37)-($L$10-$F$10)*SIN(K37-$B$37)</f>
        <v>7.758420291953824</v>
      </c>
      <c r="L181" s="5">
        <f>L90+($L$9-$F$9)*COS(L37-$B$37)-($L$10-$F$10)*SIN(L37-$B$37)</f>
        <v>7.437295573581454</v>
      </c>
      <c r="M181" s="5">
        <f>M90+($L$9-$F$9)*COS(M37-$B$37)-($L$10-$F$10)*SIN(M37-$B$37)</f>
        <v>7.095659120088589</v>
      </c>
      <c r="N181" s="5">
        <f>N90+($L$9-$F$9)*COS(N37-$B$37)-($L$10-$F$10)*SIN(N37-$B$37)</f>
        <v>6.741389275783297</v>
      </c>
      <c r="O181" s="5">
        <f>O90+($L$9-$F$9)*COS(O37-$B$37)-($L$10-$F$10)*SIN(O37-$B$37)</f>
        <v>6.3862949136579</v>
      </c>
      <c r="P181" s="5">
        <f>P90+($L$9-$F$9)*COS(P37-$B$37)-($L$10-$F$10)*SIN(P37-$B$37)</f>
        <v>6.046519835458882</v>
      </c>
      <c r="Q181" s="5">
        <f>Q90+($L$9-$F$9)*COS(Q37-$B$37)-($L$10-$F$10)*SIN(Q37-$B$37)</f>
        <v>5.742624710948385</v>
      </c>
      <c r="R181" s="5">
        <f>R90+($L$9-$F$9)*COS(R37-$B$37)-($L$10-$F$10)*SIN(R37-$B$37)</f>
        <v>5.499408521319041</v>
      </c>
      <c r="S181" s="5">
        <f>S90+($L$9-$F$9)*COS(S37-$B$37)-($L$10-$F$10)*SIN(S37-$B$37)</f>
        <v>5.345304898127319</v>
      </c>
      <c r="T181" s="5">
        <f>T90+($L$9-$F$9)*COS(T37-$B$37)-($L$10-$F$10)*SIN(T37-$B$37)</f>
        <v>5.310845260936471</v>
      </c>
      <c r="U181" s="5">
        <f>U90+($L$9-$F$9)*COS(U37-$B$37)-($L$10-$F$10)*SIN(U37-$B$37)</f>
        <v>5.425216382847216</v>
      </c>
      <c r="V181" s="5">
        <f>V90+($L$9-$F$9)*COS(V37-$B$37)-($L$10-$F$10)*SIN(V37-$B$37)</f>
        <v>5.709442383628553</v>
      </c>
      <c r="W181" s="5">
        <f>W90+($L$9-$F$9)*COS(W37-$B$37)-($L$10-$F$10)*SIN(W37-$B$37)</f>
        <v>6.164662410333393</v>
      </c>
      <c r="X181" s="5">
        <f>X90+($L$9-$F$9)*COS(X37-$B$37)-($L$10-$F$10)*SIN(X37-$B$37)</f>
        <v>6.756232105581549</v>
      </c>
      <c r="Y181" s="5">
        <f>Y90+($L$9-$F$9)*COS(Y37-$B$37)-($L$10-$F$10)*SIN(Y37-$B$37)</f>
        <v>7.40362083712766</v>
      </c>
      <c r="Z181" s="5">
        <f>Z90+($L$9-$F$9)*COS(Z37-$B$37)-($L$10-$F$10)*SIN(Z37-$B$37)</f>
        <v>8</v>
      </c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8"/>
      <c r="FH181" s="108"/>
      <c r="FI181" s="108"/>
      <c r="FJ181" s="108"/>
      <c r="FK181" s="108"/>
      <c r="FL181" s="108"/>
      <c r="FM181" s="108"/>
      <c r="FN181" s="108"/>
      <c r="FO181" s="108"/>
      <c r="FP181" s="108"/>
      <c r="FQ181" s="108"/>
      <c r="FR181" s="108"/>
      <c r="FS181" s="108"/>
      <c r="FT181" s="108"/>
      <c r="FU181" s="108"/>
      <c r="FV181" s="108"/>
      <c r="FW181" s="108"/>
      <c r="FX181" s="108"/>
      <c r="FY181" s="108"/>
      <c r="FZ181" s="108"/>
      <c r="GA181" s="108"/>
      <c r="GB181" s="108"/>
      <c r="GC181" s="108"/>
      <c r="GD181" s="108"/>
      <c r="GE181" s="108"/>
      <c r="GF181" s="108"/>
      <c r="GG181" s="108"/>
      <c r="GH181" s="108"/>
      <c r="GI181" s="108"/>
      <c r="GJ181" s="108"/>
      <c r="GK181" s="108"/>
      <c r="GL181" s="108"/>
      <c r="GM181" s="108"/>
      <c r="GN181" s="108"/>
      <c r="GO181" s="108"/>
      <c r="GP181" s="108"/>
      <c r="GQ181" s="108"/>
      <c r="GR181" s="108"/>
      <c r="GS181" s="108"/>
      <c r="GT181" s="108"/>
      <c r="GU181" s="108"/>
      <c r="GV181" s="108"/>
      <c r="GW181" s="108"/>
      <c r="GX181" s="108"/>
      <c r="GY181" s="108"/>
      <c r="GZ181" s="108"/>
      <c r="HA181" s="108"/>
      <c r="HB181" s="108"/>
      <c r="HC181" s="108"/>
      <c r="HD181" s="108"/>
      <c r="HE181" s="108"/>
      <c r="HF181" s="108"/>
      <c r="HG181" s="108"/>
      <c r="HH181" s="108"/>
      <c r="HI181" s="108"/>
      <c r="HJ181" s="108"/>
      <c r="HK181" s="108"/>
      <c r="HL181" s="108"/>
      <c r="HM181" s="108"/>
      <c r="HN181" s="108"/>
      <c r="HO181" s="108"/>
      <c r="HP181" s="108"/>
      <c r="HQ181" s="108"/>
      <c r="HR181" s="108"/>
      <c r="HS181" s="108"/>
      <c r="HT181" s="108"/>
      <c r="HU181" s="108"/>
      <c r="HV181" s="108"/>
      <c r="HW181" s="108"/>
      <c r="HX181" s="108"/>
      <c r="HY181" s="108"/>
      <c r="HZ181" s="108"/>
      <c r="IA181" s="108"/>
      <c r="IB181" s="108"/>
      <c r="IC181" s="108"/>
      <c r="ID181" s="108"/>
      <c r="IE181" s="108"/>
      <c r="IF181" s="108"/>
      <c r="IG181" s="108"/>
      <c r="IH181" s="108"/>
      <c r="II181" s="108"/>
      <c r="IJ181" s="108"/>
      <c r="IK181" s="108"/>
      <c r="IL181" s="108"/>
      <c r="IM181" s="108"/>
      <c r="IN181" s="108"/>
      <c r="IO181" s="108"/>
      <c r="IP181" s="108"/>
      <c r="IQ181" s="108"/>
      <c r="IR181" s="108"/>
      <c r="IS181" s="108"/>
      <c r="IT181" s="108"/>
      <c r="IU181" s="108"/>
      <c r="IV181" s="108"/>
    </row>
    <row r="182" spans="1:256" ht="12.75">
      <c r="A182" t="s">
        <v>232</v>
      </c>
      <c r="B182" s="5">
        <f>B91+($L$9-$F$9)*SIN(B37-$B$37)+($L$10-$F$10)*COS(B37-$B$37)</f>
        <v>3</v>
      </c>
      <c r="C182" s="5">
        <f>C91+($L$9-$F$9)*SIN(C37-$B$37)+($L$10-$F$10)*COS(C37-$B$37)</f>
        <v>2.8534447465641923</v>
      </c>
      <c r="D182" s="5">
        <f>D91+($L$9-$F$9)*SIN(D37-$B$37)+($L$10-$F$10)*COS(D37-$B$37)</f>
        <v>2.7786530335939985</v>
      </c>
      <c r="E182" s="5">
        <f>E91+($L$9-$F$9)*SIN(E37-$B$37)+($L$10-$F$10)*COS(E37-$B$37)</f>
        <v>2.753370875268136</v>
      </c>
      <c r="F182" s="5">
        <f>F91+($L$9-$F$9)*SIN(F37-$B$37)+($L$10-$F$10)*COS(F37-$B$37)</f>
        <v>2.7568667273086307</v>
      </c>
      <c r="G182" s="5">
        <f>G91+($L$9-$F$9)*SIN(G37-$B$37)+($L$10-$F$10)*COS(G37-$B$37)</f>
        <v>2.7819710300720377</v>
      </c>
      <c r="H182" s="5">
        <f>H91+($L$9-$F$9)*SIN(H37-$B$37)+($L$10-$F$10)*COS(H37-$B$37)</f>
        <v>2.8282429325174077</v>
      </c>
      <c r="I182" s="5">
        <f>I91+($L$9-$F$9)*SIN(I37-$B$37)+($L$10-$F$10)*COS(I37-$B$37)</f>
        <v>2.895579432891087</v>
      </c>
      <c r="J182" s="5">
        <f>J91+($L$9-$F$9)*SIN(J37-$B$37)+($L$10-$F$10)*COS(J37-$B$37)</f>
        <v>2.981790763781979</v>
      </c>
      <c r="K182" s="5">
        <f>K91+($L$9-$F$9)*SIN(K37-$B$37)+($L$10-$F$10)*COS(K37-$B$37)</f>
        <v>3.0824573448001447</v>
      </c>
      <c r="L182" s="5">
        <f>L91+($L$9-$F$9)*SIN(L37-$B$37)+($L$10-$F$10)*COS(L37-$B$37)</f>
        <v>3.1916638926812526</v>
      </c>
      <c r="M182" s="5">
        <f>M91+($L$9-$F$9)*SIN(M37-$B$37)+($L$10-$F$10)*COS(M37-$B$37)</f>
        <v>3.302945296358105</v>
      </c>
      <c r="N182" s="5">
        <f>N91+($L$9-$F$9)*SIN(N37-$B$37)+($L$10-$F$10)*COS(N37-$B$37)</f>
        <v>3.410143623831918</v>
      </c>
      <c r="O182" s="5">
        <f>O91+($L$9-$F$9)*SIN(O37-$B$37)+($L$10-$F$10)*COS(O37-$B$37)</f>
        <v>3.5080200087879367</v>
      </c>
      <c r="P182" s="5">
        <f>P91+($L$9-$F$9)*SIN(P37-$B$37)+($L$10-$F$10)*COS(P37-$B$37)</f>
        <v>3.592540961810986</v>
      </c>
      <c r="Q182" s="5">
        <f>Q91+($L$9-$F$9)*SIN(Q37-$B$37)+($L$10-$F$10)*COS(Q37-$B$37)</f>
        <v>3.6608204058844502</v>
      </c>
      <c r="R182" s="5">
        <f>R91+($L$9-$F$9)*SIN(R37-$B$37)+($L$10-$F$10)*COS(R37-$B$37)</f>
        <v>3.71074353198203</v>
      </c>
      <c r="S182" s="5">
        <f>S91+($L$9-$F$9)*SIN(S37-$B$37)+($L$10-$F$10)*COS(S37-$B$37)</f>
        <v>3.740309169780753</v>
      </c>
      <c r="T182" s="5">
        <f>T91+($L$9-$F$9)*SIN(T37-$B$37)+($L$10-$F$10)*COS(T37-$B$37)</f>
        <v>3.746708495576958</v>
      </c>
      <c r="U182" s="5">
        <f>U91+($L$9-$F$9)*SIN(U37-$B$37)+($L$10-$F$10)*COS(U37-$B$37)</f>
        <v>3.7251728760364116</v>
      </c>
      <c r="V182" s="5">
        <f>V91+($L$9-$F$9)*SIN(V37-$B$37)+($L$10-$F$10)*COS(V37-$B$37)</f>
        <v>3.667873163378079</v>
      </c>
      <c r="W182" s="5">
        <f>W91+($L$9-$F$9)*SIN(W37-$B$37)+($L$10-$F$10)*COS(W37-$B$37)</f>
        <v>3.5641517383719594</v>
      </c>
      <c r="X182" s="5">
        <f>X91+($L$9-$F$9)*SIN(X37-$B$37)+($L$10-$F$10)*COS(X37-$B$37)</f>
        <v>3.405839808009149</v>
      </c>
      <c r="Y182" s="5">
        <f>Y91+($L$9-$F$9)*SIN(Y37-$B$37)+($L$10-$F$10)*COS(Y37-$B$37)</f>
        <v>3.2029157622210986</v>
      </c>
      <c r="Z182" s="5">
        <f>Z91+($L$9-$F$9)*SIN(Z37-$B$37)+($L$10-$F$10)*COS(Z37-$B$37)</f>
        <v>3</v>
      </c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/>
      <c r="EL182" s="108"/>
      <c r="EM182" s="108"/>
      <c r="EN182" s="108"/>
      <c r="EO182" s="108"/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/>
      <c r="FC182" s="108"/>
      <c r="FD182" s="108"/>
      <c r="FE182" s="108"/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/>
      <c r="FR182" s="108"/>
      <c r="FS182" s="108"/>
      <c r="FT182" s="108"/>
      <c r="FU182" s="108"/>
      <c r="FV182" s="108"/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I182" s="108"/>
      <c r="GJ182" s="108"/>
      <c r="GK182" s="108"/>
      <c r="GL182" s="108"/>
      <c r="GM182" s="108"/>
      <c r="GN182" s="108"/>
      <c r="GO182" s="108"/>
      <c r="GP182" s="108"/>
      <c r="GQ182" s="108"/>
      <c r="GR182" s="108"/>
      <c r="GS182" s="108"/>
      <c r="GT182" s="108"/>
      <c r="GU182" s="108"/>
      <c r="GV182" s="108"/>
      <c r="GW182" s="108"/>
      <c r="GX182" s="108"/>
      <c r="GY182" s="108"/>
      <c r="GZ182" s="108"/>
      <c r="HA182" s="108"/>
      <c r="HB182" s="108"/>
      <c r="HC182" s="108"/>
      <c r="HD182" s="108"/>
      <c r="HE182" s="108"/>
      <c r="HF182" s="108"/>
      <c r="HG182" s="108"/>
      <c r="HH182" s="108"/>
      <c r="HI182" s="108"/>
      <c r="HJ182" s="108"/>
      <c r="HK182" s="108"/>
      <c r="HL182" s="108"/>
      <c r="HM182" s="108"/>
      <c r="HN182" s="108"/>
      <c r="HO182" s="108"/>
      <c r="HP182" s="108"/>
      <c r="HQ182" s="108"/>
      <c r="HR182" s="108"/>
      <c r="HS182" s="108"/>
      <c r="HT182" s="108"/>
      <c r="HU182" s="108"/>
      <c r="HV182" s="108"/>
      <c r="HW182" s="108"/>
      <c r="HX182" s="108"/>
      <c r="HY182" s="108"/>
      <c r="HZ182" s="108"/>
      <c r="IA182" s="108"/>
      <c r="IB182" s="108"/>
      <c r="IC182" s="108"/>
      <c r="ID182" s="108"/>
      <c r="IE182" s="108"/>
      <c r="IF182" s="108"/>
      <c r="IG182" s="108"/>
      <c r="IH182" s="108"/>
      <c r="II182" s="108"/>
      <c r="IJ182" s="108"/>
      <c r="IK182" s="108"/>
      <c r="IL182" s="108"/>
      <c r="IM182" s="108"/>
      <c r="IN182" s="108"/>
      <c r="IO182" s="108"/>
      <c r="IP182" s="108"/>
      <c r="IQ182" s="108"/>
      <c r="IR182" s="108"/>
      <c r="IS182" s="108"/>
      <c r="IT182" s="108"/>
      <c r="IU182" s="108"/>
      <c r="IV182" s="108"/>
    </row>
    <row r="183" spans="1:256" ht="12.75">
      <c r="A183" t="s">
        <v>233</v>
      </c>
      <c r="B183" s="5">
        <f>B94-B39*(B182-B91)</f>
        <v>2.0591970562386095</v>
      </c>
      <c r="C183" s="5">
        <f>C94-C39*(C182-C91)</f>
        <v>1.4522724337958095</v>
      </c>
      <c r="D183" s="5">
        <f>D94-D39*(D182-D91)</f>
        <v>0.7848277967302135</v>
      </c>
      <c r="E183" s="5">
        <f>E94-E39*(E182-E91)</f>
        <v>0.17627342881374602</v>
      </c>
      <c r="F183" s="5">
        <f>F94-F39*(F182-F91)</f>
        <v>-0.289409856552876</v>
      </c>
      <c r="G183" s="5">
        <f>G94-G39*(G182-G91)</f>
        <v>-0.604207514346923</v>
      </c>
      <c r="H183" s="5">
        <f>H94-H39*(H182-H91)</f>
        <v>-0.8110637936338759</v>
      </c>
      <c r="I183" s="5">
        <f>I94-I39*(I182-I91)</f>
        <v>-0.9579535264475643</v>
      </c>
      <c r="J183" s="5">
        <f>J94-J39*(J182-J91)</f>
        <v>-1.0765981904478674</v>
      </c>
      <c r="K183" s="5">
        <f>K94-K39*(K182-K91)</f>
        <v>-1.1805360957062985</v>
      </c>
      <c r="L183" s="5">
        <f>L94-L39*(L182-L91)</f>
        <v>-1.2696793450703552</v>
      </c>
      <c r="M183" s="5">
        <f>M94-M39*(M182-M91)</f>
        <v>-1.3352718324858346</v>
      </c>
      <c r="N183" s="5">
        <f>N94-N39*(N182-N91)</f>
        <v>-1.3636564969883467</v>
      </c>
      <c r="O183" s="5">
        <f>O94-O39*(O182-O91)</f>
        <v>-1.3387916616904443</v>
      </c>
      <c r="P183" s="5">
        <f>P94-P39*(P182-P91)</f>
        <v>-1.2437993515224628</v>
      </c>
      <c r="Q183" s="5">
        <f>Q94-Q39*(Q182-Q91)</f>
        <v>-1.0619668578395254</v>
      </c>
      <c r="R183" s="5">
        <f>R94-R39*(R182-R91)</f>
        <v>-0.7778774331139754</v>
      </c>
      <c r="S183" s="5">
        <f>S94-S39*(S182-S91)</f>
        <v>-0.3797452035370691</v>
      </c>
      <c r="T183" s="5">
        <f>T94-T39*(T182-T91)</f>
        <v>0.1354914480083891</v>
      </c>
      <c r="U183" s="5">
        <f>U94-U39*(U182-U91)</f>
        <v>0.7523667498446162</v>
      </c>
      <c r="V183" s="5">
        <f>V94-V39*(V182-V91)</f>
        <v>1.4207681511815258</v>
      </c>
      <c r="W183" s="5">
        <f>W94-W39*(W182-W91)</f>
        <v>2.0357040279994636</v>
      </c>
      <c r="X183" s="5">
        <f>X94-X39*(X182-X91)</f>
        <v>2.4312153668878436</v>
      </c>
      <c r="Y183" s="5">
        <f>Y94-Y39*(Y182-Y91)</f>
        <v>2.44244067594893</v>
      </c>
      <c r="Z183" s="5">
        <f>Z94-Z39*(Z182-Z91)</f>
        <v>2.0591970562386104</v>
      </c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/>
      <c r="FC183" s="108"/>
      <c r="FD183" s="108"/>
      <c r="FE183" s="108"/>
      <c r="FF183" s="108"/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/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/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  <c r="ID183" s="108"/>
      <c r="IE183" s="108"/>
      <c r="IF183" s="108"/>
      <c r="IG183" s="108"/>
      <c r="IH183" s="108"/>
      <c r="II183" s="108"/>
      <c r="IJ183" s="108"/>
      <c r="IK183" s="108"/>
      <c r="IL183" s="108"/>
      <c r="IM183" s="108"/>
      <c r="IN183" s="108"/>
      <c r="IO183" s="108"/>
      <c r="IP183" s="108"/>
      <c r="IQ183" s="108"/>
      <c r="IR183" s="108"/>
      <c r="IS183" s="108"/>
      <c r="IT183" s="108"/>
      <c r="IU183" s="108"/>
      <c r="IV183" s="108"/>
    </row>
    <row r="184" spans="1:256" ht="12.75">
      <c r="A184" t="s">
        <v>234</v>
      </c>
      <c r="B184" s="5">
        <f>B95+B39*(B181-B90)</f>
        <v>-0.6953158974764397</v>
      </c>
      <c r="C184" s="5">
        <f>C95+C39*(C181-C90)</f>
        <v>-0.4151875774569253</v>
      </c>
      <c r="D184" s="5">
        <f>D95+D39*(D181-D90)</f>
        <v>-0.17363632679311963</v>
      </c>
      <c r="E184" s="5">
        <f>E95+E39*(E181-E90)</f>
        <v>-0.03318888094057271</v>
      </c>
      <c r="F184" s="5">
        <f>F95+F39*(F181-F90)</f>
        <v>0.05595047386618899</v>
      </c>
      <c r="G184" s="5">
        <f>G95+G39*(G181-G90)</f>
        <v>0.13596531368781284</v>
      </c>
      <c r="H184" s="5">
        <f>H95+H39*(H181-H90)</f>
        <v>0.2175935945531194</v>
      </c>
      <c r="I184" s="5">
        <f>I95+I39*(I181-I90)</f>
        <v>0.29542201073956825</v>
      </c>
      <c r="J184" s="5">
        <f>J95+J39*(J181-J90)</f>
        <v>0.3603183586505231</v>
      </c>
      <c r="K184" s="5">
        <f>K95+K39*(K181-K90)</f>
        <v>0.40488923910715835</v>
      </c>
      <c r="L184" s="5">
        <f>L95+L39*(L181-L90)</f>
        <v>0.42521561033759214</v>
      </c>
      <c r="M184" s="5">
        <f>M95+M39*(M181-M90)</f>
        <v>0.4209517510466392</v>
      </c>
      <c r="N184" s="5">
        <f>N95+N39*(N181-N90)</f>
        <v>0.39462960600646274</v>
      </c>
      <c r="O184" s="5">
        <f>O95+O39*(O181-O90)</f>
        <v>0.35052708356109463</v>
      </c>
      <c r="P184" s="5">
        <f>P95+P39*(P181-P90)</f>
        <v>0.2933524402263704</v>
      </c>
      <c r="Q184" s="5">
        <f>Q95+Q39*(Q181-Q90)</f>
        <v>0.2269597682770013</v>
      </c>
      <c r="R184" s="5">
        <f>R95+R39*(R181-R90)</f>
        <v>0.15320951356260054</v>
      </c>
      <c r="S184" s="5">
        <f>S95+S39*(S181-S90)</f>
        <v>0.07094210256677355</v>
      </c>
      <c r="T184" s="5">
        <f>T95+T39*(T181-T90)</f>
        <v>-0.02501145827518191</v>
      </c>
      <c r="U184" s="5">
        <f>U95+U39*(U181-U90)</f>
        <v>-0.14447569675749133</v>
      </c>
      <c r="V184" s="5">
        <f>V95+V39*(V181-V90)</f>
        <v>-0.30031836870834216</v>
      </c>
      <c r="W184" s="5">
        <f>W95+W39*(W181-W90)</f>
        <v>-0.4982705239345952</v>
      </c>
      <c r="X184" s="5">
        <f>X95+X39*(X181-X90)</f>
        <v>-0.7063343907561523</v>
      </c>
      <c r="Y184" s="5">
        <f>Y95+Y39*(Y181-Y90)</f>
        <v>-0.8141877588820408</v>
      </c>
      <c r="Z184" s="5">
        <f>Z95+Z39*(Z181-Z90)</f>
        <v>-0.69531589747644</v>
      </c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/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/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  <c r="ID184" s="108"/>
      <c r="IE184" s="108"/>
      <c r="IF184" s="108"/>
      <c r="IG184" s="108"/>
      <c r="IH184" s="108"/>
      <c r="II184" s="108"/>
      <c r="IJ184" s="108"/>
      <c r="IK184" s="108"/>
      <c r="IL184" s="108"/>
      <c r="IM184" s="108"/>
      <c r="IN184" s="108"/>
      <c r="IO184" s="108"/>
      <c r="IP184" s="108"/>
      <c r="IQ184" s="108"/>
      <c r="IR184" s="108"/>
      <c r="IS184" s="108"/>
      <c r="IT184" s="108"/>
      <c r="IU184" s="108"/>
      <c r="IV184" s="108"/>
    </row>
    <row r="185" spans="1:256" ht="12.75">
      <c r="A185" t="s">
        <v>235</v>
      </c>
      <c r="B185" s="5">
        <f>B96-B43*(B182-B91)-B39*(B184-B94)</f>
        <v>-3.8535625941723644</v>
      </c>
      <c r="C185" s="5">
        <f>C96-C43*(C182-C91)-C39*(C184-C94)</f>
        <v>-3.6115625283912136</v>
      </c>
      <c r="D185" s="5">
        <f>D96-D43*(D182-D91)-D39*(D184-D94)</f>
        <v>-2.84650451058799</v>
      </c>
      <c r="E185" s="5">
        <f>E96-E43*(E182-E91)-E39*(E184-E94)</f>
        <v>-2.099444956794989</v>
      </c>
      <c r="F185" s="5">
        <f>F96-F43*(F182-F91)-F39*(F184-F94)</f>
        <v>-1.5187396166584775</v>
      </c>
      <c r="G185" s="5">
        <f>G96-G43*(G182-G91)-G39*(G184-G94)</f>
        <v>-1.1627731204263922</v>
      </c>
      <c r="H185" s="5">
        <f>H96-H43*(H182-H91)-H39*(H184-H94)</f>
        <v>-0.9992277340121982</v>
      </c>
      <c r="I185" s="5">
        <f>I96-I43*(I182-I91)-I39*(I184-I94)</f>
        <v>-0.948795300130345</v>
      </c>
      <c r="J185" s="5">
        <f>J96-J43*(J182-J91)-J39*(J184-J94)</f>
        <v>-0.9358673181987123</v>
      </c>
      <c r="K185" s="5">
        <f>K96-K43*(K182-K91)-K39*(K184-K94)</f>
        <v>-0.9060474074958627</v>
      </c>
      <c r="L185" s="5">
        <f>L96-L43*(L182-L91)-L39*(L184-L94)</f>
        <v>-0.8251106066453868</v>
      </c>
      <c r="M185" s="5">
        <f>M96-M43*(M182-M91)-M39*(M184-M94)</f>
        <v>-0.6738055684271527</v>
      </c>
      <c r="N185" s="5">
        <f>N96-N43*(N182-N91)-N39*(N184-N94)</f>
        <v>-0.4433849818811436</v>
      </c>
      <c r="O185" s="5">
        <f>O96-O43*(O182-O91)-O39*(O184-O94)</f>
        <v>-0.13242220370403068</v>
      </c>
      <c r="P185" s="5">
        <f>P96-P43*(P182-P91)-P39*(P184-P94)</f>
        <v>0.25513083356400196</v>
      </c>
      <c r="Q185" s="5">
        <f>Q96-Q43*(Q182-Q91)-Q39*(Q184-Q94)</f>
        <v>0.7098953667551922</v>
      </c>
      <c r="R185" s="5">
        <f>R96-R43*(R182-R91)-R39*(R184-R94)</f>
        <v>1.2133028433516244</v>
      </c>
      <c r="S185" s="5">
        <f>S96-S43*(S182-S91)-S39*(S184-S94)</f>
        <v>1.727738027394191</v>
      </c>
      <c r="T185" s="5">
        <f>T96-T43*(T182-T91)-T39*(T184-T94)</f>
        <v>2.1781816305565194</v>
      </c>
      <c r="U185" s="5">
        <f>U96-U43*(U182-U91)-U39*(U184-U94)</f>
        <v>2.4249031108706647</v>
      </c>
      <c r="V185" s="5">
        <f>V96-V43*(V182-V91)-V39*(V184-V94)</f>
        <v>2.2366105863093795</v>
      </c>
      <c r="W185" s="5">
        <f>W96-W43*(W182-W91)-W39*(W184-W94)</f>
        <v>1.3111557790890804</v>
      </c>
      <c r="X185" s="5">
        <f>X96-X43*(X182-X91)-X39*(X184-X94)</f>
        <v>-0.5092471709946413</v>
      </c>
      <c r="Y185" s="5">
        <f>Y96-Y43*(Y182-Y91)-Y39*(Y184-Y94)</f>
        <v>-2.678027092310343</v>
      </c>
      <c r="Z185" s="5">
        <f>Z96-Z43*(Z182-Z91)-Z39*(Z184-Z94)</f>
        <v>-3.8535625941723666</v>
      </c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I185" s="108"/>
      <c r="GJ185" s="108"/>
      <c r="GK185" s="108"/>
      <c r="GL185" s="108"/>
      <c r="GM185" s="108"/>
      <c r="GN185" s="108"/>
      <c r="GO185" s="108"/>
      <c r="GP185" s="108"/>
      <c r="GQ185" s="108"/>
      <c r="GR185" s="108"/>
      <c r="GS185" s="108"/>
      <c r="GT185" s="108"/>
      <c r="GU185" s="108"/>
      <c r="GV185" s="108"/>
      <c r="GW185" s="108"/>
      <c r="GX185" s="108"/>
      <c r="GY185" s="108"/>
      <c r="GZ185" s="108"/>
      <c r="HA185" s="108"/>
      <c r="HB185" s="108"/>
      <c r="HC185" s="108"/>
      <c r="HD185" s="108"/>
      <c r="HE185" s="108"/>
      <c r="HF185" s="108"/>
      <c r="HG185" s="108"/>
      <c r="HH185" s="108"/>
      <c r="HI185" s="108"/>
      <c r="HJ185" s="108"/>
      <c r="HK185" s="108"/>
      <c r="HL185" s="108"/>
      <c r="HM185" s="108"/>
      <c r="HN185" s="108"/>
      <c r="HO185" s="108"/>
      <c r="HP185" s="108"/>
      <c r="HQ185" s="108"/>
      <c r="HR185" s="108"/>
      <c r="HS185" s="108"/>
      <c r="HT185" s="108"/>
      <c r="HU185" s="108"/>
      <c r="HV185" s="108"/>
      <c r="HW185" s="108"/>
      <c r="HX185" s="108"/>
      <c r="HY185" s="108"/>
      <c r="HZ185" s="108"/>
      <c r="IA185" s="108"/>
      <c r="IB185" s="108"/>
      <c r="IC185" s="108"/>
      <c r="ID185" s="108"/>
      <c r="IE185" s="108"/>
      <c r="IF185" s="108"/>
      <c r="IG185" s="108"/>
      <c r="IH185" s="108"/>
      <c r="II185" s="108"/>
      <c r="IJ185" s="108"/>
      <c r="IK185" s="108"/>
      <c r="IL185" s="108"/>
      <c r="IM185" s="108"/>
      <c r="IN185" s="108"/>
      <c r="IO185" s="108"/>
      <c r="IP185" s="108"/>
      <c r="IQ185" s="108"/>
      <c r="IR185" s="108"/>
      <c r="IS185" s="108"/>
      <c r="IT185" s="108"/>
      <c r="IU185" s="108"/>
      <c r="IV185" s="108"/>
    </row>
    <row r="186" spans="1:256" ht="12.75">
      <c r="A186" t="s">
        <v>236</v>
      </c>
      <c r="B186" s="5">
        <f>B97+B43*(B181-B90)+B39*(B183-B94)</f>
        <v>0.887103468372901</v>
      </c>
      <c r="C186" s="5">
        <f>C97+C43*(C181-C90)+C39*(C183-C94)</f>
        <v>1.0993650460433235</v>
      </c>
      <c r="D186" s="5">
        <f>D97+D43*(D181-D90)+D39*(D183-D94)</f>
        <v>0.7129483261168224</v>
      </c>
      <c r="E186" s="5">
        <f>E97+E43*(E181-E90)+E39*(E183-E94)</f>
        <v>0.40066348587575673</v>
      </c>
      <c r="F186" s="5">
        <f>F97+F43*(F181-F90)+F39*(F183-F94)</f>
        <v>0.3076715887921199</v>
      </c>
      <c r="G186" s="5">
        <f>G97+G43*(G181-G90)+G39*(G183-G94)</f>
        <v>0.30914869174879334</v>
      </c>
      <c r="H186" s="5">
        <f>H97+H43*(H181-H90)+H39*(H183-H94)</f>
        <v>0.3102189185291559</v>
      </c>
      <c r="I186" s="5">
        <f>I97+I43*(I181-I90)+I39*(I183-I94)</f>
        <v>0.27822162059343714</v>
      </c>
      <c r="J186" s="5">
        <f>J97+J43*(J181-J90)+J39*(J183-J94)</f>
        <v>0.2127503052355283</v>
      </c>
      <c r="K186" s="5">
        <f>K97+K43*(K181-K90)+K39*(K183-K94)</f>
        <v>0.1252512947377388</v>
      </c>
      <c r="L186" s="5">
        <f>L97+L43*(L181-L90)+L39*(L183-L94)</f>
        <v>0.029857678263656234</v>
      </c>
      <c r="M186" s="5">
        <f>M97+M43*(M181-M90)+M39*(M183-M94)</f>
        <v>-0.0607449951314379</v>
      </c>
      <c r="N186" s="5">
        <f>N97+N43*(N181-N90)+N39*(N183-N94)</f>
        <v>-0.13753212933622178</v>
      </c>
      <c r="O186" s="5">
        <f>O97+O43*(O181-O90)+O39*(O183-O94)</f>
        <v>-0.19630604398674856</v>
      </c>
      <c r="P186" s="5">
        <f>P97+P43*(P181-P90)+P39*(P183-P94)</f>
        <v>-0.23795033307221758</v>
      </c>
      <c r="Q186" s="5">
        <f>Q97+Q43*(Q181-Q90)+Q39*(Q183-Q94)</f>
        <v>-0.26800381063262435</v>
      </c>
      <c r="R186" s="5">
        <f>R97+R43*(R181-R90)+R39*(R183-R94)</f>
        <v>-0.29608063719151645</v>
      </c>
      <c r="S186" s="5">
        <f>S97+S43*(S181-S90)+S39*(S183-S94)</f>
        <v>-0.3356324139988264</v>
      </c>
      <c r="T186" s="5">
        <f>T97+T43*(T181-T90)+T39*(T183-T94)</f>
        <v>-0.40370534467996116</v>
      </c>
      <c r="U186" s="5">
        <f>U97+U43*(U181-U90)+U39*(U183-U94)</f>
        <v>-0.5176469054117364</v>
      </c>
      <c r="V186" s="5">
        <f>V97+V43*(V181-V90)+V39*(V183-V94)</f>
        <v>-0.6784250797332149</v>
      </c>
      <c r="W186" s="5">
        <f>W97+W43*(W181-W90)+W39*(W183-W94)</f>
        <v>-0.8170312751848847</v>
      </c>
      <c r="X186" s="5">
        <f>X97+X43*(X181-X90)+X39*(X183-X94)</f>
        <v>-0.7002503042599764</v>
      </c>
      <c r="Y186" s="5">
        <f>Y97+Y43*(Y181-Y90)+Y39*(Y183-Y94)</f>
        <v>-0.023890606833788186</v>
      </c>
      <c r="Z186" s="5">
        <f>Z97+Z43*(Z181-Z90)+Z39*(Z183-Z94)</f>
        <v>0.8871034683729015</v>
      </c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I186" s="108"/>
      <c r="GJ186" s="108"/>
      <c r="GK186" s="108"/>
      <c r="GL186" s="108"/>
      <c r="GM186" s="108"/>
      <c r="GN186" s="108"/>
      <c r="GO186" s="108"/>
      <c r="GP186" s="108"/>
      <c r="GQ186" s="108"/>
      <c r="GR186" s="108"/>
      <c r="GS186" s="108"/>
      <c r="GT186" s="108"/>
      <c r="GU186" s="108"/>
      <c r="GV186" s="108"/>
      <c r="GW186" s="108"/>
      <c r="GX186" s="108"/>
      <c r="GY186" s="108"/>
      <c r="GZ186" s="108"/>
      <c r="HA186" s="108"/>
      <c r="HB186" s="108"/>
      <c r="HC186" s="108"/>
      <c r="HD186" s="108"/>
      <c r="HE186" s="108"/>
      <c r="HF186" s="108"/>
      <c r="HG186" s="108"/>
      <c r="HH186" s="108"/>
      <c r="HI186" s="108"/>
      <c r="HJ186" s="108"/>
      <c r="HK186" s="108"/>
      <c r="HL186" s="108"/>
      <c r="HM186" s="108"/>
      <c r="HN186" s="108"/>
      <c r="HO186" s="108"/>
      <c r="HP186" s="108"/>
      <c r="HQ186" s="108"/>
      <c r="HR186" s="108"/>
      <c r="HS186" s="108"/>
      <c r="HT186" s="108"/>
      <c r="HU186" s="108"/>
      <c r="HV186" s="108"/>
      <c r="HW186" s="108"/>
      <c r="HX186" s="108"/>
      <c r="HY186" s="108"/>
      <c r="HZ186" s="108"/>
      <c r="IA186" s="108"/>
      <c r="IB186" s="108"/>
      <c r="IC186" s="108"/>
      <c r="ID186" s="108"/>
      <c r="IE186" s="108"/>
      <c r="IF186" s="108"/>
      <c r="IG186" s="108"/>
      <c r="IH186" s="108"/>
      <c r="II186" s="108"/>
      <c r="IJ186" s="108"/>
      <c r="IK186" s="108"/>
      <c r="IL186" s="108"/>
      <c r="IM186" s="108"/>
      <c r="IN186" s="108"/>
      <c r="IO186" s="108"/>
      <c r="IP186" s="108"/>
      <c r="IQ186" s="108"/>
      <c r="IR186" s="108"/>
      <c r="IS186" s="108"/>
      <c r="IT186" s="108"/>
      <c r="IU186" s="108"/>
      <c r="IV186" s="108"/>
    </row>
    <row r="189" spans="1:26" s="120" customFormat="1" ht="12.75">
      <c r="A189" s="32"/>
      <c r="B189" s="87" t="s">
        <v>155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1" spans="1:26" s="121" customFormat="1" ht="12.75">
      <c r="A191" s="39"/>
      <c r="B191" s="39"/>
      <c r="C191" s="78" t="s">
        <v>133</v>
      </c>
      <c r="D191" s="78"/>
      <c r="E191" s="78"/>
      <c r="F191" s="78"/>
      <c r="G191" s="78"/>
      <c r="H191" s="78"/>
      <c r="I191" s="78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s="108" customFormat="1" ht="12.75">
      <c r="A192" t="s">
        <v>156</v>
      </c>
      <c r="B192" s="5">
        <f>0.5*$O$3*(B134^2+B135^2)+0.5*B20*$Q$3</f>
        <v>2.5</v>
      </c>
      <c r="C192" s="5">
        <f>0.5*$O$3*(C134^2+C135^2)+0.5*C20*$Q$3</f>
        <v>2.5</v>
      </c>
      <c r="D192" s="5">
        <f>0.5*$O$3*(D134^2+D135^2)+0.5*D20*$Q$3</f>
        <v>2.5</v>
      </c>
      <c r="E192" s="5">
        <f>0.5*$O$3*(E134^2+E135^2)+0.5*E20*$Q$3</f>
        <v>2.5</v>
      </c>
      <c r="F192" s="5">
        <f>0.5*$O$3*(F134^2+F135^2)+0.5*F20*$Q$3</f>
        <v>2.5</v>
      </c>
      <c r="G192" s="5">
        <f>0.5*$O$3*(G134^2+G135^2)+0.5*G20*$Q$3</f>
        <v>2.5</v>
      </c>
      <c r="H192" s="5">
        <f>0.5*$O$3*(H134^2+H135^2)+0.5*H20*$Q$3</f>
        <v>2.5</v>
      </c>
      <c r="I192" s="5">
        <f>0.5*$O$3*(I134^2+I135^2)+0.5*I20*$Q$3</f>
        <v>2.5000000000000004</v>
      </c>
      <c r="J192" s="5">
        <f>0.5*$O$3*(J134^2+J135^2)+0.5*J20*$Q$3</f>
        <v>2.5</v>
      </c>
      <c r="K192" s="5">
        <f>0.5*$O$3*(K134^2+K135^2)+0.5*K20*$Q$3</f>
        <v>2.5</v>
      </c>
      <c r="L192" s="5">
        <f>0.5*$O$3*(L134^2+L135^2)+0.5*L20*$Q$3</f>
        <v>2.5</v>
      </c>
      <c r="M192" s="5">
        <f>0.5*$O$3*(M134^2+M135^2)+0.5*M20*$Q$3</f>
        <v>2.5</v>
      </c>
      <c r="N192" s="5">
        <f>0.5*$O$3*(N134^2+N135^2)+0.5*N20*$Q$3</f>
        <v>2.5</v>
      </c>
      <c r="O192" s="5">
        <f>0.5*$O$3*(O134^2+O135^2)+0.5*O20*$Q$3</f>
        <v>2.5</v>
      </c>
      <c r="P192" s="5">
        <f>0.5*$O$3*(P134^2+P135^2)+0.5*P20*$Q$3</f>
        <v>2.5</v>
      </c>
      <c r="Q192" s="5">
        <f>0.5*$O$3*(Q134^2+Q135^2)+0.5*Q20*$Q$3</f>
        <v>2.5</v>
      </c>
      <c r="R192" s="5">
        <f>0.5*$O$3*(R134^2+R135^2)+0.5*R20*$Q$3</f>
        <v>2.5</v>
      </c>
      <c r="S192" s="5">
        <f>0.5*$O$3*(S134^2+S135^2)+0.5*S20*$Q$3</f>
        <v>2.5</v>
      </c>
      <c r="T192" s="5">
        <f>0.5*$O$3*(T134^2+T135^2)+0.5*T20*$Q$3</f>
        <v>2.5</v>
      </c>
      <c r="U192" s="5">
        <f>0.5*$O$3*(U134^2+U135^2)+0.5*U20*$Q$3</f>
        <v>2.5</v>
      </c>
      <c r="V192" s="5">
        <f>0.5*$O$3*(V134^2+V135^2)+0.5*V20*$Q$3</f>
        <v>2.5</v>
      </c>
      <c r="W192" s="5">
        <f>0.5*$O$3*(W134^2+W135^2)+0.5*W20*$Q$3</f>
        <v>2.5</v>
      </c>
      <c r="X192" s="5">
        <f>0.5*$O$3*(X134^2+X135^2)+0.5*X20*$Q$3</f>
        <v>2.5</v>
      </c>
      <c r="Y192" s="5">
        <f>0.5*$O$3*(Y134^2+Y135^2)+0.5*Y20*$Q$3</f>
        <v>2.5</v>
      </c>
      <c r="Z192" s="5">
        <f>0.5*$O$3*(Z134^2+Z135^2)+0.5*Z20*$Q$3</f>
        <v>2.5</v>
      </c>
    </row>
    <row r="193" spans="1:26" s="108" customFormat="1" ht="12.75">
      <c r="A193" t="s">
        <v>157</v>
      </c>
      <c r="B193" s="5">
        <f>$O$3*B136</f>
        <v>2</v>
      </c>
      <c r="C193" s="5">
        <f>$O$3*C136</f>
        <v>1.9318516525781366</v>
      </c>
      <c r="D193" s="5">
        <f>$O$3*D136</f>
        <v>1.7320508075688774</v>
      </c>
      <c r="E193" s="5">
        <f>$O$3*E136</f>
        <v>1.4142135623730951</v>
      </c>
      <c r="F193" s="5">
        <f>$O$3*F136</f>
        <v>1.0000000000000002</v>
      </c>
      <c r="G193" s="5">
        <f>$O$3*G136</f>
        <v>0.5176380902050415</v>
      </c>
      <c r="H193" s="5">
        <f>$O$3*H136</f>
        <v>1.22514845490862E-16</v>
      </c>
      <c r="I193" s="5">
        <f>$O$3*I136</f>
        <v>-0.5176380902050417</v>
      </c>
      <c r="J193" s="5">
        <f>$O$3*J136</f>
        <v>-0.9999999999999996</v>
      </c>
      <c r="K193" s="5">
        <f>$O$3*K136</f>
        <v>-1.414213562373095</v>
      </c>
      <c r="L193" s="5">
        <f>$O$3*L136</f>
        <v>-1.7320508075688774</v>
      </c>
      <c r="M193" s="5">
        <f>$O$3*M136</f>
        <v>-1.9318516525781364</v>
      </c>
      <c r="N193" s="5">
        <f>$O$3*N136</f>
        <v>-2</v>
      </c>
      <c r="O193" s="5">
        <f>$O$3*O136</f>
        <v>-1.9318516525781366</v>
      </c>
      <c r="P193" s="5">
        <f>$O$3*P136</f>
        <v>-1.7320508075688772</v>
      </c>
      <c r="Q193" s="5">
        <f>$O$3*Q136</f>
        <v>-1.4142135623730954</v>
      </c>
      <c r="R193" s="5">
        <f>$O$3*R136</f>
        <v>-1.0000000000000009</v>
      </c>
      <c r="S193" s="5">
        <f>$O$3*S136</f>
        <v>-0.5176380902050413</v>
      </c>
      <c r="T193" s="5">
        <f>$O$3*T136</f>
        <v>-3.67544536472586E-16</v>
      </c>
      <c r="U193" s="5">
        <f>$O$3*U136</f>
        <v>0.5176380902050406</v>
      </c>
      <c r="V193" s="5">
        <f>$O$3*V136</f>
        <v>1.0000000000000002</v>
      </c>
      <c r="W193" s="5">
        <f>$O$3*W136</f>
        <v>1.4142135623730947</v>
      </c>
      <c r="X193" s="5">
        <f>$O$3*X136</f>
        <v>1.7320508075688767</v>
      </c>
      <c r="Y193" s="5">
        <f>$O$3*Y136</f>
        <v>1.9318516525781366</v>
      </c>
      <c r="Z193" s="5">
        <f>$O$3*Z136</f>
        <v>2</v>
      </c>
    </row>
    <row r="194" spans="1:26" s="108" customFormat="1" ht="12.75">
      <c r="A194" t="s">
        <v>158</v>
      </c>
      <c r="B194" s="5">
        <f>$O$3*B137</f>
        <v>0</v>
      </c>
      <c r="C194" s="5">
        <f>$O$3*C137</f>
        <v>0.5176380902050415</v>
      </c>
      <c r="D194" s="5">
        <f>$O$3*D137</f>
        <v>0.9999999999999999</v>
      </c>
      <c r="E194" s="5">
        <f>$O$3*E137</f>
        <v>1.414213562373095</v>
      </c>
      <c r="F194" s="5">
        <f>$O$3*F137</f>
        <v>1.7320508075688772</v>
      </c>
      <c r="G194" s="5">
        <f>$O$3*G137</f>
        <v>1.9318516525781366</v>
      </c>
      <c r="H194" s="5">
        <f>$O$3*H137</f>
        <v>2</v>
      </c>
      <c r="I194" s="5">
        <f>$O$3*I137</f>
        <v>1.9318516525781366</v>
      </c>
      <c r="J194" s="5">
        <f>$O$3*J137</f>
        <v>1.7320508075688774</v>
      </c>
      <c r="K194" s="5">
        <f>$O$3*K137</f>
        <v>1.4142135623730951</v>
      </c>
      <c r="L194" s="5">
        <f>$O$3*L137</f>
        <v>0.9999999999999999</v>
      </c>
      <c r="M194" s="5">
        <f>$O$3*M137</f>
        <v>0.517638090205042</v>
      </c>
      <c r="N194" s="5">
        <f>$O$3*N137</f>
        <v>2.45029690981724E-16</v>
      </c>
      <c r="O194" s="5">
        <f>$O$3*O137</f>
        <v>-0.5176380902050416</v>
      </c>
      <c r="P194" s="5">
        <f>$O$3*P137</f>
        <v>-1.0000000000000002</v>
      </c>
      <c r="Q194" s="5">
        <f>$O$3*Q137</f>
        <v>-1.414213562373095</v>
      </c>
      <c r="R194" s="5">
        <f>$O$3*R137</f>
        <v>-1.7320508075688767</v>
      </c>
      <c r="S194" s="5">
        <f>$O$3*S137</f>
        <v>-1.9318516525781366</v>
      </c>
      <c r="T194" s="5">
        <f>$O$3*T137</f>
        <v>-2</v>
      </c>
      <c r="U194" s="5">
        <f>$O$3*U137</f>
        <v>-1.9318516525781368</v>
      </c>
      <c r="V194" s="5">
        <f>$O$3*V137</f>
        <v>-1.7320508075688772</v>
      </c>
      <c r="W194" s="5">
        <f>$O$3*W137</f>
        <v>-1.4142135623730954</v>
      </c>
      <c r="X194" s="5">
        <f>$O$3*X137</f>
        <v>-1.0000000000000009</v>
      </c>
      <c r="Y194" s="5">
        <f>$O$3*Y137</f>
        <v>-0.5176380902050414</v>
      </c>
      <c r="Z194" s="5">
        <f>$O$3*Z137</f>
        <v>-4.90059381963448E-16</v>
      </c>
    </row>
    <row r="195" spans="1:26" s="108" customFormat="1" ht="12.75">
      <c r="A195" t="s">
        <v>159</v>
      </c>
      <c r="B195" s="5">
        <f>$B$6*$Q$3</f>
        <v>0</v>
      </c>
      <c r="C195" s="5">
        <f>$B$6*$Q$3</f>
        <v>0</v>
      </c>
      <c r="D195" s="5">
        <f>$B$6*$Q$3</f>
        <v>0</v>
      </c>
      <c r="E195" s="5">
        <f>$B$6*$Q$3</f>
        <v>0</v>
      </c>
      <c r="F195" s="5">
        <f>$B$6*$Q$3</f>
        <v>0</v>
      </c>
      <c r="G195" s="5">
        <f>$B$6*$Q$3</f>
        <v>0</v>
      </c>
      <c r="H195" s="5">
        <f>$B$6*$Q$3</f>
        <v>0</v>
      </c>
      <c r="I195" s="5">
        <f>$B$6*$Q$3</f>
        <v>0</v>
      </c>
      <c r="J195" s="5">
        <f>$B$6*$Q$3</f>
        <v>0</v>
      </c>
      <c r="K195" s="5">
        <f>$B$6*$Q$3</f>
        <v>0</v>
      </c>
      <c r="L195" s="5">
        <f>$B$6*$Q$3</f>
        <v>0</v>
      </c>
      <c r="M195" s="5">
        <f>$B$6*$Q$3</f>
        <v>0</v>
      </c>
      <c r="N195" s="5">
        <f>$B$6*$Q$3</f>
        <v>0</v>
      </c>
      <c r="O195" s="5">
        <f>$B$6*$Q$3</f>
        <v>0</v>
      </c>
      <c r="P195" s="5">
        <f>$B$6*$Q$3</f>
        <v>0</v>
      </c>
      <c r="Q195" s="5">
        <f>$B$6*$Q$3</f>
        <v>0</v>
      </c>
      <c r="R195" s="5">
        <f>$B$6*$Q$3</f>
        <v>0</v>
      </c>
      <c r="S195" s="5">
        <f>$B$6*$Q$3</f>
        <v>0</v>
      </c>
      <c r="T195" s="5">
        <f>$B$6*$Q$3</f>
        <v>0</v>
      </c>
      <c r="U195" s="5">
        <f>$B$6*$Q$3</f>
        <v>0</v>
      </c>
      <c r="V195" s="5">
        <f>$B$6*$Q$3</f>
        <v>0</v>
      </c>
      <c r="W195" s="5">
        <f>$B$6*$Q$3</f>
        <v>0</v>
      </c>
      <c r="X195" s="5">
        <f>$B$6*$Q$3</f>
        <v>0</v>
      </c>
      <c r="Y195" s="5">
        <f>$B$6*$Q$3</f>
        <v>0</v>
      </c>
      <c r="Z195" s="5">
        <f>$B$6*$Q$3</f>
        <v>0</v>
      </c>
    </row>
    <row r="196" spans="1:26" s="108" customFormat="1" ht="12.75">
      <c r="A196" t="s">
        <v>198</v>
      </c>
      <c r="B196" s="5">
        <f>B193*B134+B194*B135+B195*B20</f>
        <v>0</v>
      </c>
      <c r="C196" s="5">
        <f>C193*C134+C194*C135+C195*C20</f>
        <v>0</v>
      </c>
      <c r="D196" s="5">
        <f>D193*D134+D194*D135+D195*D20</f>
        <v>0</v>
      </c>
      <c r="E196" s="5">
        <f>E193*E134+E194*E135+E195*E20</f>
        <v>0</v>
      </c>
      <c r="F196" s="5">
        <f>F193*F134+F194*F135+F195*F20</f>
        <v>0</v>
      </c>
      <c r="G196" s="5">
        <f>G193*G134+G194*G135+G195*G20</f>
        <v>0</v>
      </c>
      <c r="H196" s="5">
        <f>H193*H134+H194*H135+H195*H20</f>
        <v>0</v>
      </c>
      <c r="I196" s="5">
        <f>I193*I134+I194*I135+I195*I20</f>
        <v>0</v>
      </c>
      <c r="J196" s="5">
        <f>J193*J134+J194*J135+J195*J20</f>
        <v>0</v>
      </c>
      <c r="K196" s="5">
        <f>K193*K134+K194*K135+K195*K20</f>
        <v>0</v>
      </c>
      <c r="L196" s="5">
        <f>L193*L134+L194*L135+L195*L20</f>
        <v>0</v>
      </c>
      <c r="M196" s="5">
        <f>M193*M134+M194*M135+M195*M20</f>
        <v>0</v>
      </c>
      <c r="N196" s="5">
        <f>N193*N134+N194*N135+N195*N20</f>
        <v>0</v>
      </c>
      <c r="O196" s="5">
        <f>O193*O134+O194*O135+O195*O20</f>
        <v>0</v>
      </c>
      <c r="P196" s="5">
        <f>P193*P134+P194*P135+P195*P20</f>
        <v>0</v>
      </c>
      <c r="Q196" s="5">
        <f>Q193*Q134+Q194*Q135+Q195*Q20</f>
        <v>0</v>
      </c>
      <c r="R196" s="5">
        <f>R193*R134+R194*R135+R195*R20</f>
        <v>0</v>
      </c>
      <c r="S196" s="5">
        <f>S193*S134+S194*S135+S195*S20</f>
        <v>0</v>
      </c>
      <c r="T196" s="5">
        <f>T193*T134+T194*T135+T195*T20</f>
        <v>0</v>
      </c>
      <c r="U196" s="5">
        <f>U193*U134+U194*U135+U195*U20</f>
        <v>0</v>
      </c>
      <c r="V196" s="5">
        <f>V193*V134+V194*V135+V195*V20</f>
        <v>0</v>
      </c>
      <c r="W196" s="5">
        <f>W193*W134+W194*W135+W195*W20</f>
        <v>0</v>
      </c>
      <c r="X196" s="5">
        <f>X193*X134+X194*X135+X195*X20</f>
        <v>0</v>
      </c>
      <c r="Y196" s="5">
        <f>Y193*Y134+Y194*Y135+Y195*Y20</f>
        <v>0</v>
      </c>
      <c r="Z196" s="5">
        <f>Z193*Z134+Z194*Z135+Z195*Z20</f>
        <v>0</v>
      </c>
    </row>
    <row r="197" spans="1:256" s="108" customFormat="1" ht="12.75">
      <c r="A197" t="s">
        <v>199</v>
      </c>
      <c r="B197" s="6">
        <f>B135*$O$3*$S$5</f>
        <v>-20</v>
      </c>
      <c r="C197" s="6">
        <f>C135*$O$3*$S$5</f>
        <v>-19.318516525781366</v>
      </c>
      <c r="D197" s="6">
        <f>D135*$O$3*$S$5</f>
        <v>-17.320508075688775</v>
      </c>
      <c r="E197" s="6">
        <f>E135*$O$3*$S$5</f>
        <v>-14.142135623730951</v>
      </c>
      <c r="F197" s="6">
        <f>F135*$O$3*$S$5</f>
        <v>-10.000000000000002</v>
      </c>
      <c r="G197" s="6">
        <f>G135*$O$3*$S$5</f>
        <v>-5.176380902050415</v>
      </c>
      <c r="H197" s="6">
        <f>H135*$O$3*$S$5</f>
        <v>-1.22514845490862E-15</v>
      </c>
      <c r="I197" s="6">
        <f>I135*$O$3*$S$5</f>
        <v>5.176380902050417</v>
      </c>
      <c r="J197" s="6">
        <f>J135*$O$3*$S$5</f>
        <v>9.999999999999996</v>
      </c>
      <c r="K197" s="6">
        <f>K135*$O$3*$S$5</f>
        <v>14.14213562373095</v>
      </c>
      <c r="L197" s="6">
        <f>L135*$O$3*$S$5</f>
        <v>17.320508075688775</v>
      </c>
      <c r="M197" s="6">
        <f>M135*$O$3*$S$5</f>
        <v>19.318516525781362</v>
      </c>
      <c r="N197" s="6">
        <f>N135*$O$3*$S$5</f>
        <v>20</v>
      </c>
      <c r="O197" s="6">
        <f>O135*$O$3*$S$5</f>
        <v>19.318516525781366</v>
      </c>
      <c r="P197" s="6">
        <f>P135*$O$3*$S$5</f>
        <v>17.32050807568877</v>
      </c>
      <c r="Q197" s="6">
        <f>Q135*$O$3*$S$5</f>
        <v>14.142135623730955</v>
      </c>
      <c r="R197" s="6">
        <f>R135*$O$3*$S$5</f>
        <v>10.000000000000009</v>
      </c>
      <c r="S197" s="6">
        <f>S135*$O$3*$S$5</f>
        <v>5.176380902050413</v>
      </c>
      <c r="T197" s="6">
        <f>T135*$O$3*$S$5</f>
        <v>3.67544536472586E-15</v>
      </c>
      <c r="U197" s="6">
        <f>U135*$O$3*$S$5</f>
        <v>-5.176380902050406</v>
      </c>
      <c r="V197" s="6">
        <f>V135*$O$3*$S$5</f>
        <v>-10.000000000000002</v>
      </c>
      <c r="W197" s="6">
        <f>W135*$O$3*$S$5</f>
        <v>-14.142135623730947</v>
      </c>
      <c r="X197" s="6">
        <f>X135*$O$3*$S$5</f>
        <v>-17.320508075688767</v>
      </c>
      <c r="Y197" s="6">
        <f>Y135*$O$3*$S$5</f>
        <v>-19.318516525781366</v>
      </c>
      <c r="Z197" s="6">
        <f>Z135*$O$3*$S$5</f>
        <v>-20</v>
      </c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  <c r="GK197" s="110"/>
      <c r="GL197" s="110"/>
      <c r="GM197" s="110"/>
      <c r="GN197" s="110"/>
      <c r="GO197" s="110"/>
      <c r="GP197" s="110"/>
      <c r="GQ197" s="110"/>
      <c r="GR197" s="110"/>
      <c r="GS197" s="110"/>
      <c r="GT197" s="110"/>
      <c r="GU197" s="110"/>
      <c r="GV197" s="110"/>
      <c r="GW197" s="110"/>
      <c r="GX197" s="110"/>
      <c r="GY197" s="110"/>
      <c r="GZ197" s="110"/>
      <c r="HA197" s="110"/>
      <c r="HB197" s="110"/>
      <c r="HC197" s="110"/>
      <c r="HD197" s="110"/>
      <c r="HE197" s="110"/>
      <c r="HF197" s="110"/>
      <c r="HG197" s="110"/>
      <c r="HH197" s="110"/>
      <c r="HI197" s="110"/>
      <c r="HJ197" s="110"/>
      <c r="HK197" s="110"/>
      <c r="HL197" s="110"/>
      <c r="HM197" s="110"/>
      <c r="HN197" s="110"/>
      <c r="HO197" s="110"/>
      <c r="HP197" s="110"/>
      <c r="HQ197" s="110"/>
      <c r="HR197" s="110"/>
      <c r="HS197" s="110"/>
      <c r="HT197" s="110"/>
      <c r="HU197" s="110"/>
      <c r="HV197" s="110"/>
      <c r="HW197" s="110"/>
      <c r="HX197" s="110"/>
      <c r="HY197" s="110"/>
      <c r="HZ197" s="110"/>
      <c r="IA197" s="110"/>
      <c r="IB197" s="110"/>
      <c r="IC197" s="110"/>
      <c r="ID197" s="110"/>
      <c r="IE197" s="110"/>
      <c r="IF197" s="110"/>
      <c r="IG197" s="110"/>
      <c r="IH197" s="110"/>
      <c r="II197" s="110"/>
      <c r="IJ197" s="110"/>
      <c r="IK197" s="110"/>
      <c r="IL197" s="110"/>
      <c r="IM197" s="110"/>
      <c r="IN197" s="110"/>
      <c r="IO197" s="110"/>
      <c r="IP197" s="110"/>
      <c r="IQ197" s="110"/>
      <c r="IR197" s="110"/>
      <c r="IS197" s="110"/>
      <c r="IT197" s="110"/>
      <c r="IU197" s="110"/>
      <c r="IV197" s="110"/>
    </row>
    <row r="199" spans="1:26" s="121" customFormat="1" ht="12.75">
      <c r="A199" s="39"/>
      <c r="B199" s="39"/>
      <c r="C199" s="78" t="s">
        <v>134</v>
      </c>
      <c r="D199" s="78"/>
      <c r="E199" s="78"/>
      <c r="F199" s="78"/>
      <c r="G199" s="78"/>
      <c r="H199" s="78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56" ht="12.75">
      <c r="A200" t="s">
        <v>174</v>
      </c>
      <c r="B200" s="5">
        <f>0.5*$O$4*(B141^2+B142^2)+0.5*$Q$4*B38^2</f>
        <v>4.882797731568998</v>
      </c>
      <c r="C200" s="5">
        <f>0.5*$O$4*(C141^2+C142^2)+0.5*$Q$4*C38^2</f>
        <v>2.5872888545862938</v>
      </c>
      <c r="D200" s="5">
        <f>0.5*$O$4*(D141^2+D142^2)+0.5*$Q$4*D38^2</f>
        <v>1.487016280055964</v>
      </c>
      <c r="E200" s="5">
        <f>0.5*$O$4*(E141^2+E142^2)+0.5*$Q$4*E38^2</f>
        <v>1.8553424061921477</v>
      </c>
      <c r="F200" s="5">
        <f>0.5*$O$4*(F141^2+F142^2)+0.5*$Q$4*F38^2</f>
        <v>2.8269435876912152</v>
      </c>
      <c r="G200" s="5">
        <f>0.5*$O$4*(G141^2+G142^2)+0.5*$Q$4*G38^2</f>
        <v>3.7533852252883593</v>
      </c>
      <c r="H200" s="5">
        <f>0.5*$O$4*(H141^2+H142^2)+0.5*$Q$4*H38^2</f>
        <v>4.3935441353388995</v>
      </c>
      <c r="I200" s="5">
        <f>0.5*$O$4*(I141^2+I142^2)+0.5*$Q$4*I38^2</f>
        <v>4.715118389420619</v>
      </c>
      <c r="J200" s="5">
        <f>0.5*$O$4*(J141^2+J142^2)+0.5*$Q$4*J38^2</f>
        <v>4.758176469073334</v>
      </c>
      <c r="K200" s="5">
        <f>0.5*$O$4*(K141^2+K142^2)+0.5*$Q$4*K38^2</f>
        <v>4.580835658211578</v>
      </c>
      <c r="L200" s="5">
        <f>0.5*$O$4*(L141^2+L142^2)+0.5*$Q$4*L38^2</f>
        <v>4.243129231655073</v>
      </c>
      <c r="M200" s="5">
        <f>0.5*$O$4*(M141^2+M142^2)+0.5*$Q$4*M38^2</f>
        <v>3.8037168044927516</v>
      </c>
      <c r="N200" s="5">
        <f>0.5*$O$4*(N141^2+N142^2)+0.5*$Q$4*N38^2</f>
        <v>3.319344203261935</v>
      </c>
      <c r="O200" s="5">
        <f>0.5*$O$4*(O141^2+O142^2)+0.5*$Q$4*O38^2</f>
        <v>2.8440122734250823</v>
      </c>
      <c r="P200" s="5">
        <f>0.5*$O$4*(P141^2+P142^2)+0.5*$Q$4*P38^2</f>
        <v>2.427829759568683</v>
      </c>
      <c r="Q200" s="5">
        <f>0.5*$O$4*(Q141^2+Q142^2)+0.5*$Q$4*Q38^2</f>
        <v>2.1166319783395586</v>
      </c>
      <c r="R200" s="5">
        <f>0.5*$O$4*(R141^2+R142^2)+0.5*$Q$4*R38^2</f>
        <v>1.9534048497834917</v>
      </c>
      <c r="S200" s="5">
        <f>0.5*$O$4*(S141^2+S142^2)+0.5*$Q$4*S38^2</f>
        <v>1.981804613215522</v>
      </c>
      <c r="T200" s="5">
        <f>0.5*$O$4*(T141^2+T142^2)+0.5*$Q$4*T38^2</f>
        <v>2.250721997863036</v>
      </c>
      <c r="U200" s="5">
        <f>0.5*$O$4*(U141^2+U142^2)+0.5*$Q$4*U38^2</f>
        <v>2.8156700871331766</v>
      </c>
      <c r="V200" s="5">
        <f>0.5*$O$4*(V141^2+V142^2)+0.5*$Q$4*V38^2</f>
        <v>3.7229324713239778</v>
      </c>
      <c r="W200" s="5">
        <f>0.5*$O$4*(W141^2+W142^2)+0.5*$Q$4*W38^2</f>
        <v>4.935139764560816</v>
      </c>
      <c r="X200" s="5">
        <f>0.5*$O$4*(X141^2+X142^2)+0.5*$Q$4*X38^2</f>
        <v>6.1202180640354955</v>
      </c>
      <c r="Y200" s="5">
        <f>0.5*$O$4*(Y141^2+Y142^2)+0.5*$Q$4*Y38^2</f>
        <v>6.387764127358686</v>
      </c>
      <c r="Z200" s="5">
        <f>0.5*$O$4*(Z141^2+Z142^2)+0.5*$Q$4*Z38^2</f>
        <v>4.882797731568999</v>
      </c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  <c r="GZ200" s="108"/>
      <c r="HA200" s="108"/>
      <c r="HB200" s="108"/>
      <c r="HC200" s="108"/>
      <c r="HD200" s="108"/>
      <c r="HE200" s="108"/>
      <c r="HF200" s="108"/>
      <c r="HG200" s="108"/>
      <c r="HH200" s="108"/>
      <c r="HI200" s="108"/>
      <c r="HJ200" s="108"/>
      <c r="HK200" s="108"/>
      <c r="HL200" s="108"/>
      <c r="HM200" s="108"/>
      <c r="HN200" s="108"/>
      <c r="HO200" s="108"/>
      <c r="HP200" s="108"/>
      <c r="HQ200" s="108"/>
      <c r="HR200" s="108"/>
      <c r="HS200" s="108"/>
      <c r="HT200" s="108"/>
      <c r="HU200" s="108"/>
      <c r="HV200" s="108"/>
      <c r="HW200" s="108"/>
      <c r="HX200" s="108"/>
      <c r="HY200" s="108"/>
      <c r="HZ200" s="108"/>
      <c r="IA200" s="108"/>
      <c r="IB200" s="108"/>
      <c r="IC200" s="108"/>
      <c r="ID200" s="108"/>
      <c r="IE200" s="108"/>
      <c r="IF200" s="108"/>
      <c r="IG200" s="108"/>
      <c r="IH200" s="108"/>
      <c r="II200" s="108"/>
      <c r="IJ200" s="108"/>
      <c r="IK200" s="108"/>
      <c r="IL200" s="108"/>
      <c r="IM200" s="108"/>
      <c r="IN200" s="108"/>
      <c r="IO200" s="108"/>
      <c r="IP200" s="108"/>
      <c r="IQ200" s="108"/>
      <c r="IR200" s="108"/>
      <c r="IS200" s="108"/>
      <c r="IT200" s="108"/>
      <c r="IU200" s="108"/>
      <c r="IV200" s="108"/>
    </row>
    <row r="201" spans="1:256" ht="12.75">
      <c r="A201" t="s">
        <v>175</v>
      </c>
      <c r="B201" s="5">
        <f>$O$4*B143</f>
        <v>-2.6613712772184575</v>
      </c>
      <c r="C201" s="5">
        <f>$O$4*C143</f>
        <v>-4.440111741268729</v>
      </c>
      <c r="D201" s="5">
        <f>$O$4*D143</f>
        <v>-4.591677016854755</v>
      </c>
      <c r="E201" s="5">
        <f>$O$4*E143</f>
        <v>-3.713313063711203</v>
      </c>
      <c r="F201" s="5">
        <f>$O$4*F143</f>
        <v>-2.6064757240613865</v>
      </c>
      <c r="G201" s="5">
        <f>$O$4*G143</f>
        <v>-1.5489751332148327</v>
      </c>
      <c r="H201" s="5">
        <f>$O$4*H143</f>
        <v>-0.5828836706062347</v>
      </c>
      <c r="I201" s="5">
        <f>$O$4*I143</f>
        <v>0.28666073893579974</v>
      </c>
      <c r="J201" s="5">
        <f>$O$4*J143</f>
        <v>1.0446214673384733</v>
      </c>
      <c r="K201" s="5">
        <f>$O$4*K143</f>
        <v>1.667285996124706</v>
      </c>
      <c r="L201" s="5">
        <f>$O$4*L143</f>
        <v>2.131028141122857</v>
      </c>
      <c r="M201" s="5">
        <f>$O$4*M143</f>
        <v>2.4194142742507196</v>
      </c>
      <c r="N201" s="5">
        <f>$O$4*N143</f>
        <v>2.5273639527489604</v>
      </c>
      <c r="O201" s="5">
        <f>$O$4*O143</f>
        <v>2.4626188980396684</v>
      </c>
      <c r="P201" s="5">
        <f>$O$4*P143</f>
        <v>2.245243713971367</v>
      </c>
      <c r="Q201" s="5">
        <f>$O$4*Q143</f>
        <v>1.9062094689726106</v>
      </c>
      <c r="R201" s="5">
        <f>$O$4*R143</f>
        <v>1.486200455259995</v>
      </c>
      <c r="S201" s="5">
        <f>$O$4*S143</f>
        <v>1.0355632762949574</v>
      </c>
      <c r="T201" s="5">
        <f>$O$4*T143</f>
        <v>0.6157384758990324</v>
      </c>
      <c r="U201" s="5">
        <f>$O$4*U143</f>
        <v>0.3004439525167756</v>
      </c>
      <c r="V201" s="5">
        <f>$O$4*V143</f>
        <v>0.1657803865051604</v>
      </c>
      <c r="W201" s="5">
        <f>$O$4*W143</f>
        <v>0.22659696037188698</v>
      </c>
      <c r="X201" s="5">
        <f>$O$4*X143</f>
        <v>0.22544074077212506</v>
      </c>
      <c r="Y201" s="5">
        <f>$O$4*Y143</f>
        <v>-0.6014033547373465</v>
      </c>
      <c r="Z201" s="5">
        <f>$O$4*Z143</f>
        <v>-2.6613712772184575</v>
      </c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  <c r="II201" s="108"/>
      <c r="IJ201" s="108"/>
      <c r="IK201" s="108"/>
      <c r="IL201" s="108"/>
      <c r="IM201" s="108"/>
      <c r="IN201" s="108"/>
      <c r="IO201" s="108"/>
      <c r="IP201" s="108"/>
      <c r="IQ201" s="108"/>
      <c r="IR201" s="108"/>
      <c r="IS201" s="108"/>
      <c r="IT201" s="108"/>
      <c r="IU201" s="108"/>
      <c r="IV201" s="108"/>
    </row>
    <row r="202" spans="1:256" ht="12.75">
      <c r="A202" t="s">
        <v>176</v>
      </c>
      <c r="B202" s="5">
        <f>$O$4*B144</f>
        <v>-1.530645617108656</v>
      </c>
      <c r="C202" s="5">
        <f>$O$4*C144</f>
        <v>-1.4038014762352782</v>
      </c>
      <c r="D202" s="5">
        <f>$O$4*D144</f>
        <v>-1.0174051307362353</v>
      </c>
      <c r="E202" s="5">
        <f>$O$4*E144</f>
        <v>-1.149225952739204</v>
      </c>
      <c r="F202" s="5">
        <f>$O$4*F144</f>
        <v>-1.59916763080702</v>
      </c>
      <c r="G202" s="5">
        <f>$O$4*G144</f>
        <v>-2.0328804478686653</v>
      </c>
      <c r="H202" s="5">
        <f>$O$4*H144</f>
        <v>-2.2871570733785456</v>
      </c>
      <c r="I202" s="5">
        <f>$O$4*I144</f>
        <v>-2.316011166179767</v>
      </c>
      <c r="J202" s="5">
        <f>$O$4*J144</f>
        <v>-2.1264200677326666</v>
      </c>
      <c r="K202" s="5">
        <f>$O$4*K144</f>
        <v>-1.749451685389944</v>
      </c>
      <c r="L202" s="5">
        <f>$O$4*L144</f>
        <v>-1.2288351571375136</v>
      </c>
      <c r="M202" s="5">
        <f>$O$4*M144</f>
        <v>-0.6149238434091777</v>
      </c>
      <c r="N202" s="5">
        <f>$O$4*N144</f>
        <v>0.040251307450819646</v>
      </c>
      <c r="O202" s="5">
        <f>$O$4*O144</f>
        <v>0.6875778923197741</v>
      </c>
      <c r="P202" s="5">
        <f>$O$4*P144</f>
        <v>1.2846400594468435</v>
      </c>
      <c r="Q202" s="5">
        <f>$O$4*Q144</f>
        <v>1.798179866834659</v>
      </c>
      <c r="R202" s="5">
        <f>$O$4*R144</f>
        <v>2.205130008747567</v>
      </c>
      <c r="S202" s="5">
        <f>$O$4*S144</f>
        <v>2.4921525614187807</v>
      </c>
      <c r="T202" s="5">
        <f>$O$4*T144</f>
        <v>2.6525595993012767</v>
      </c>
      <c r="U202" s="5">
        <f>$O$4*U144</f>
        <v>2.676331427038189</v>
      </c>
      <c r="V202" s="5">
        <f>$O$4*V144</f>
        <v>2.522821926430738</v>
      </c>
      <c r="W202" s="5">
        <f>$O$4*W144</f>
        <v>2.065635068616635</v>
      </c>
      <c r="X202" s="5">
        <f>$O$4*X144</f>
        <v>1.0732133056390027</v>
      </c>
      <c r="Y202" s="5">
        <f>$O$4*Y144</f>
        <v>-0.4425686925971298</v>
      </c>
      <c r="Z202" s="5">
        <f>$O$4*Z144</f>
        <v>-1.530645617108655</v>
      </c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/>
      <c r="EL202" s="108"/>
      <c r="EM202" s="108"/>
      <c r="EN202" s="108"/>
      <c r="EO202" s="108"/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/>
      <c r="FC202" s="108"/>
      <c r="FD202" s="108"/>
      <c r="FE202" s="108"/>
      <c r="FF202" s="108"/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/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  <c r="GZ202" s="108"/>
      <c r="HA202" s="108"/>
      <c r="HB202" s="108"/>
      <c r="HC202" s="108"/>
      <c r="HD202" s="108"/>
      <c r="HE202" s="108"/>
      <c r="HF202" s="108"/>
      <c r="HG202" s="108"/>
      <c r="HH202" s="108"/>
      <c r="HI202" s="108"/>
      <c r="HJ202" s="108"/>
      <c r="HK202" s="108"/>
      <c r="HL202" s="108"/>
      <c r="HM202" s="108"/>
      <c r="HN202" s="108"/>
      <c r="HO202" s="108"/>
      <c r="HP202" s="108"/>
      <c r="HQ202" s="108"/>
      <c r="HR202" s="108"/>
      <c r="HS202" s="108"/>
      <c r="HT202" s="108"/>
      <c r="HU202" s="108"/>
      <c r="HV202" s="108"/>
      <c r="HW202" s="108"/>
      <c r="HX202" s="108"/>
      <c r="HY202" s="108"/>
      <c r="HZ202" s="108"/>
      <c r="IA202" s="108"/>
      <c r="IB202" s="108"/>
      <c r="IC202" s="108"/>
      <c r="ID202" s="108"/>
      <c r="IE202" s="108"/>
      <c r="IF202" s="108"/>
      <c r="IG202" s="108"/>
      <c r="IH202" s="108"/>
      <c r="II202" s="108"/>
      <c r="IJ202" s="108"/>
      <c r="IK202" s="108"/>
      <c r="IL202" s="108"/>
      <c r="IM202" s="108"/>
      <c r="IN202" s="108"/>
      <c r="IO202" s="108"/>
      <c r="IP202" s="108"/>
      <c r="IQ202" s="108"/>
      <c r="IR202" s="108"/>
      <c r="IS202" s="108"/>
      <c r="IT202" s="108"/>
      <c r="IU202" s="108"/>
      <c r="IV202" s="108"/>
    </row>
    <row r="203" spans="1:256" ht="12.75">
      <c r="A203" t="s">
        <v>177</v>
      </c>
      <c r="B203" s="5">
        <f>B42*$Q$4</f>
        <v>-0.25465317854532843</v>
      </c>
      <c r="C203" s="5">
        <f>C42*$Q$4</f>
        <v>0.33538154209713983</v>
      </c>
      <c r="D203" s="5">
        <f>D42*$Q$4</f>
        <v>0.5954792333857327</v>
      </c>
      <c r="E203" s="5">
        <f>E42*$Q$4</f>
        <v>0.5770224448698265</v>
      </c>
      <c r="F203" s="5">
        <f>F42*$Q$4</f>
        <v>0.46922756446219577</v>
      </c>
      <c r="G203" s="5">
        <f>G42*$Q$4</f>
        <v>0.366562621000652</v>
      </c>
      <c r="H203" s="5">
        <f>H42*$Q$4</f>
        <v>0.29118676995447834</v>
      </c>
      <c r="I203" s="5">
        <f>I42*$Q$4</f>
        <v>0.24047545562926903</v>
      </c>
      <c r="J203" s="5">
        <f>J42*$Q$4</f>
        <v>0.20697794853433074</v>
      </c>
      <c r="K203" s="5">
        <f>K42*$Q$4</f>
        <v>0.18379922937809146</v>
      </c>
      <c r="L203" s="5">
        <f>L42*$Q$4</f>
        <v>0.16542402097755657</v>
      </c>
      <c r="M203" s="5">
        <f>M42*$Q$4</f>
        <v>0.14754547321574527</v>
      </c>
      <c r="N203" s="5">
        <f>N42*$Q$4</f>
        <v>0.12682484543271005</v>
      </c>
      <c r="O203" s="5">
        <f>O42*$Q$4</f>
        <v>0.1006753053640314</v>
      </c>
      <c r="P203" s="5">
        <f>P42*$Q$4</f>
        <v>0.06694709881156378</v>
      </c>
      <c r="Q203" s="5">
        <f>Q42*$Q$4</f>
        <v>0.023398089039717893</v>
      </c>
      <c r="R203" s="5">
        <f>R42*$Q$4</f>
        <v>-0.033088242292318465</v>
      </c>
      <c r="S203" s="5">
        <f>S42*$Q$4</f>
        <v>-0.10749759801843302</v>
      </c>
      <c r="T203" s="5">
        <f>T42*$Q$4</f>
        <v>-0.20769298891635574</v>
      </c>
      <c r="U203" s="5">
        <f>U42*$Q$4</f>
        <v>-0.3445081458425133</v>
      </c>
      <c r="V203" s="5">
        <f>V42*$Q$4</f>
        <v>-0.5271955736400938</v>
      </c>
      <c r="W203" s="5">
        <f>W42*$Q$4</f>
        <v>-0.7426749613154954</v>
      </c>
      <c r="X203" s="5">
        <f>X42*$Q$4</f>
        <v>-0.8995594327079838</v>
      </c>
      <c r="Y203" s="5">
        <f>Y42*$Q$4</f>
        <v>-0.7800575257140033</v>
      </c>
      <c r="Z203" s="5">
        <f>Z42*$Q$4</f>
        <v>-0.25465317854532843</v>
      </c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108"/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  <c r="GZ203" s="108"/>
      <c r="HA203" s="108"/>
      <c r="HB203" s="108"/>
      <c r="HC203" s="108"/>
      <c r="HD203" s="108"/>
      <c r="HE203" s="108"/>
      <c r="HF203" s="108"/>
      <c r="HG203" s="108"/>
      <c r="HH203" s="108"/>
      <c r="HI203" s="108"/>
      <c r="HJ203" s="108"/>
      <c r="HK203" s="108"/>
      <c r="HL203" s="108"/>
      <c r="HM203" s="108"/>
      <c r="HN203" s="108"/>
      <c r="HO203" s="108"/>
      <c r="HP203" s="108"/>
      <c r="HQ203" s="108"/>
      <c r="HR203" s="108"/>
      <c r="HS203" s="108"/>
      <c r="HT203" s="108"/>
      <c r="HU203" s="108"/>
      <c r="HV203" s="108"/>
      <c r="HW203" s="108"/>
      <c r="HX203" s="108"/>
      <c r="HY203" s="108"/>
      <c r="HZ203" s="108"/>
      <c r="IA203" s="108"/>
      <c r="IB203" s="108"/>
      <c r="IC203" s="108"/>
      <c r="ID203" s="108"/>
      <c r="IE203" s="108"/>
      <c r="IF203" s="108"/>
      <c r="IG203" s="108"/>
      <c r="IH203" s="108"/>
      <c r="II203" s="108"/>
      <c r="IJ203" s="108"/>
      <c r="IK203" s="108"/>
      <c r="IL203" s="108"/>
      <c r="IM203" s="108"/>
      <c r="IN203" s="108"/>
      <c r="IO203" s="108"/>
      <c r="IP203" s="108"/>
      <c r="IQ203" s="108"/>
      <c r="IR203" s="108"/>
      <c r="IS203" s="108"/>
      <c r="IT203" s="108"/>
      <c r="IU203" s="108"/>
      <c r="IV203" s="108"/>
    </row>
    <row r="204" spans="1:256" ht="12.75">
      <c r="A204" t="s">
        <v>200</v>
      </c>
      <c r="B204" s="5">
        <f>B201*B141+B202*B142+B203*B38</f>
        <v>-8.634642309587742</v>
      </c>
      <c r="C204" s="5">
        <f>C201*C141+C202*C142+C203*C38</f>
        <v>-7.36945444663259</v>
      </c>
      <c r="D204" s="5">
        <f>D201*D141+D202*D142+D203*D38</f>
        <v>-0.9599825793553827</v>
      </c>
      <c r="E204" s="5">
        <f>E201*E141+E202*E142+E203*E38</f>
        <v>3.125018503759171</v>
      </c>
      <c r="F204" s="5">
        <f>F201*F141+F202*F142+F203*F38</f>
        <v>3.8849247795809556</v>
      </c>
      <c r="G204" s="5">
        <f>G201*G141+G202*G142+G203*G38</f>
        <v>3.054711174057063</v>
      </c>
      <c r="H204" s="5">
        <f>H201*H141+H202*H142+H203*H38</f>
        <v>1.8235204730434393</v>
      </c>
      <c r="I204" s="5">
        <f>I201*I141+I202*I142+I203*I38</f>
        <v>0.6616404142063168</v>
      </c>
      <c r="J204" s="5">
        <f>J201*J141+J202*J142+J203*J38</f>
        <v>-0.2948871816427095</v>
      </c>
      <c r="K204" s="5">
        <f>K201*K141+K202*K142+K203*K38</f>
        <v>-1.0215482427097824</v>
      </c>
      <c r="L204" s="5">
        <f>L201*L141+L202*L142+L203*L38</f>
        <v>-1.5209829301990667</v>
      </c>
      <c r="M204" s="5">
        <f>M201*M141+M202*M142+M203*M38</f>
        <v>-1.7996999866302466</v>
      </c>
      <c r="N204" s="5">
        <f>N201*N141+N202*N142+N203*N38</f>
        <v>-1.8661715246433912</v>
      </c>
      <c r="O204" s="5">
        <f>O201*O141+O202*O142+O203*O38</f>
        <v>-1.7331619555701485</v>
      </c>
      <c r="P204" s="5">
        <f>P201*P141+P202*P142+P203*P38</f>
        <v>-1.4171460183873128</v>
      </c>
      <c r="Q204" s="5">
        <f>Q201*Q141+Q202*Q142+Q203*Q38</f>
        <v>-0.9330959673931357</v>
      </c>
      <c r="R204" s="5">
        <f>R201*R141+R202*R142+R203*R38</f>
        <v>-0.2863958757667603</v>
      </c>
      <c r="S204" s="5">
        <f>S201*S141+S202*S142+S203*S38</f>
        <v>0.5342880738040453</v>
      </c>
      <c r="T204" s="5">
        <f>T201*T141+T202*T142+T203*T38</f>
        <v>1.5561104938186783</v>
      </c>
      <c r="U204" s="5">
        <f>U201*U141+U202*U142+U203*U38</f>
        <v>2.7931486533602654</v>
      </c>
      <c r="V204" s="5">
        <f>V201*V141+V202*V142+V203*V38</f>
        <v>4.126948329087894</v>
      </c>
      <c r="W204" s="5">
        <f>W201*W141+W202*W142+W203*W38</f>
        <v>4.946641848572368</v>
      </c>
      <c r="X204" s="5">
        <f>X201*X141+X202*X142+X203*X38</f>
        <v>3.5195742819685325</v>
      </c>
      <c r="Y204" s="5">
        <f>Y201*Y141+Y202*Y142+Y203*Y38</f>
        <v>-2.1893637663718333</v>
      </c>
      <c r="Z204" s="5">
        <f>Z201*Z141+Z202*Z142+Z203*Z38</f>
        <v>-8.634642309587742</v>
      </c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8"/>
      <c r="FH204" s="108"/>
      <c r="FI204" s="108"/>
      <c r="FJ204" s="108"/>
      <c r="FK204" s="108"/>
      <c r="FL204" s="108"/>
      <c r="FM204" s="108"/>
      <c r="FN204" s="108"/>
      <c r="FO204" s="108"/>
      <c r="FP204" s="108"/>
      <c r="FQ204" s="108"/>
      <c r="FR204" s="108"/>
      <c r="FS204" s="108"/>
      <c r="FT204" s="108"/>
      <c r="FU204" s="108"/>
      <c r="FV204" s="108"/>
      <c r="FW204" s="108"/>
      <c r="FX204" s="108"/>
      <c r="FY204" s="108"/>
      <c r="FZ204" s="108"/>
      <c r="GA204" s="108"/>
      <c r="GB204" s="108"/>
      <c r="GC204" s="108"/>
      <c r="GD204" s="108"/>
      <c r="GE204" s="108"/>
      <c r="GF204" s="108"/>
      <c r="GG204" s="108"/>
      <c r="GH204" s="108"/>
      <c r="GI204" s="108"/>
      <c r="GJ204" s="108"/>
      <c r="GK204" s="108"/>
      <c r="GL204" s="108"/>
      <c r="GM204" s="108"/>
      <c r="GN204" s="108"/>
      <c r="GO204" s="108"/>
      <c r="GP204" s="108"/>
      <c r="GQ204" s="108"/>
      <c r="GR204" s="108"/>
      <c r="GS204" s="108"/>
      <c r="GT204" s="108"/>
      <c r="GU204" s="108"/>
      <c r="GV204" s="108"/>
      <c r="GW204" s="108"/>
      <c r="GX204" s="108"/>
      <c r="GY204" s="108"/>
      <c r="GZ204" s="108"/>
      <c r="HA204" s="108"/>
      <c r="HB204" s="108"/>
      <c r="HC204" s="108"/>
      <c r="HD204" s="108"/>
      <c r="HE204" s="108"/>
      <c r="HF204" s="108"/>
      <c r="HG204" s="108"/>
      <c r="HH204" s="108"/>
      <c r="HI204" s="108"/>
      <c r="HJ204" s="108"/>
      <c r="HK204" s="108"/>
      <c r="HL204" s="108"/>
      <c r="HM204" s="108"/>
      <c r="HN204" s="108"/>
      <c r="HO204" s="108"/>
      <c r="HP204" s="108"/>
      <c r="HQ204" s="108"/>
      <c r="HR204" s="108"/>
      <c r="HS204" s="108"/>
      <c r="HT204" s="108"/>
      <c r="HU204" s="108"/>
      <c r="HV204" s="108"/>
      <c r="HW204" s="108"/>
      <c r="HX204" s="108"/>
      <c r="HY204" s="108"/>
      <c r="HZ204" s="108"/>
      <c r="IA204" s="108"/>
      <c r="IB204" s="108"/>
      <c r="IC204" s="108"/>
      <c r="ID204" s="108"/>
      <c r="IE204" s="108"/>
      <c r="IF204" s="108"/>
      <c r="IG204" s="108"/>
      <c r="IH204" s="108"/>
      <c r="II204" s="108"/>
      <c r="IJ204" s="108"/>
      <c r="IK204" s="108"/>
      <c r="IL204" s="108"/>
      <c r="IM204" s="108"/>
      <c r="IN204" s="108"/>
      <c r="IO204" s="108"/>
      <c r="IP204" s="108"/>
      <c r="IQ204" s="108"/>
      <c r="IR204" s="108"/>
      <c r="IS204" s="108"/>
      <c r="IT204" s="108"/>
      <c r="IU204" s="108"/>
      <c r="IV204" s="108"/>
    </row>
    <row r="205" spans="1:256" ht="12.75">
      <c r="A205" t="s">
        <v>201</v>
      </c>
      <c r="B205" s="6">
        <f>B142*$O$4*$S$5</f>
        <v>23.478260869565215</v>
      </c>
      <c r="C205" s="6">
        <f>C142*$O$4*$S$5</f>
        <v>19.426279456695244</v>
      </c>
      <c r="D205" s="6">
        <f>D142*$O$4*$S$5</f>
        <v>16.337175509662394</v>
      </c>
      <c r="E205" s="6">
        <f>E142*$O$4*$S$5</f>
        <v>13.612975439101955</v>
      </c>
      <c r="F205" s="6">
        <f>F142*$O$4*$S$5</f>
        <v>10.041976338688393</v>
      </c>
      <c r="G205" s="6">
        <f>G142*$O$4*$S$5</f>
        <v>5.259844543934009</v>
      </c>
      <c r="H205" s="6">
        <f>H142*$O$4*$S$5</f>
        <v>-0.4422845105654339</v>
      </c>
      <c r="I205" s="6">
        <f>I142*$O$4*$S$5</f>
        <v>-6.517557767371189</v>
      </c>
      <c r="J205" s="6">
        <f>J142*$O$4*$S$5</f>
        <v>-12.377614193627407</v>
      </c>
      <c r="K205" s="6">
        <f>K142*$O$4*$S$5</f>
        <v>-17.4875960129094</v>
      </c>
      <c r="L205" s="6">
        <f>L142*$O$4*$S$5</f>
        <v>-21.412174550633143</v>
      </c>
      <c r="M205" s="6">
        <f>M142*$O$4*$S$5</f>
        <v>-23.840298653955912</v>
      </c>
      <c r="N205" s="6">
        <f>N142*$O$4*$S$5</f>
        <v>-24.595986551516287</v>
      </c>
      <c r="O205" s="6">
        <f>O142*$O$4*$S$5</f>
        <v>-23.636592099235937</v>
      </c>
      <c r="P205" s="6">
        <f>P142*$O$4*$S$5</f>
        <v>-21.03997253682181</v>
      </c>
      <c r="Q205" s="6">
        <f>Q142*$O$4*$S$5</f>
        <v>-16.98342061202826</v>
      </c>
      <c r="R205" s="6">
        <f>R142*$O$4*$S$5</f>
        <v>-11.718032355725683</v>
      </c>
      <c r="S205" s="6">
        <f>S142*$O$4*$S$5</f>
        <v>-5.542257365861389</v>
      </c>
      <c r="T205" s="6">
        <f>T142*$O$4*$S$5</f>
        <v>1.220396157467497</v>
      </c>
      <c r="U205" s="6">
        <f>U142*$O$4*$S$5</f>
        <v>8.228050313422376</v>
      </c>
      <c r="V205" s="6">
        <f>V142*$O$4*$S$5</f>
        <v>15.081388573083146</v>
      </c>
      <c r="W205" s="6">
        <f>W142*$O$4*$S$5</f>
        <v>21.17666055282095</v>
      </c>
      <c r="X205" s="6">
        <f>X142*$O$4*$S$5</f>
        <v>25.425953085430834</v>
      </c>
      <c r="Y205" s="6">
        <f>Y142*$O$4*$S$5</f>
        <v>26.304826334214532</v>
      </c>
      <c r="Z205" s="6">
        <f>Z142*$O$4*$S$5</f>
        <v>23.478260869565215</v>
      </c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  <c r="GK205" s="110"/>
      <c r="GL205" s="110"/>
      <c r="GM205" s="110"/>
      <c r="GN205" s="110"/>
      <c r="GO205" s="110"/>
      <c r="GP205" s="110"/>
      <c r="GQ205" s="110"/>
      <c r="GR205" s="110"/>
      <c r="GS205" s="110"/>
      <c r="GT205" s="110"/>
      <c r="GU205" s="110"/>
      <c r="GV205" s="110"/>
      <c r="GW205" s="110"/>
      <c r="GX205" s="110"/>
      <c r="GY205" s="110"/>
      <c r="GZ205" s="110"/>
      <c r="HA205" s="110"/>
      <c r="HB205" s="110"/>
      <c r="HC205" s="110"/>
      <c r="HD205" s="110"/>
      <c r="HE205" s="110"/>
      <c r="HF205" s="110"/>
      <c r="HG205" s="110"/>
      <c r="HH205" s="110"/>
      <c r="HI205" s="110"/>
      <c r="HJ205" s="110"/>
      <c r="HK205" s="110"/>
      <c r="HL205" s="110"/>
      <c r="HM205" s="110"/>
      <c r="HN205" s="110"/>
      <c r="HO205" s="110"/>
      <c r="HP205" s="110"/>
      <c r="HQ205" s="110"/>
      <c r="HR205" s="110"/>
      <c r="HS205" s="110"/>
      <c r="HT205" s="110"/>
      <c r="HU205" s="110"/>
      <c r="HV205" s="110"/>
      <c r="HW205" s="110"/>
      <c r="HX205" s="110"/>
      <c r="HY205" s="110"/>
      <c r="HZ205" s="110"/>
      <c r="IA205" s="110"/>
      <c r="IB205" s="110"/>
      <c r="IC205" s="110"/>
      <c r="ID205" s="110"/>
      <c r="IE205" s="110"/>
      <c r="IF205" s="110"/>
      <c r="IG205" s="110"/>
      <c r="IH205" s="110"/>
      <c r="II205" s="110"/>
      <c r="IJ205" s="110"/>
      <c r="IK205" s="110"/>
      <c r="IL205" s="110"/>
      <c r="IM205" s="110"/>
      <c r="IN205" s="110"/>
      <c r="IO205" s="110"/>
      <c r="IP205" s="110"/>
      <c r="IQ205" s="110"/>
      <c r="IR205" s="110"/>
      <c r="IS205" s="110"/>
      <c r="IT205" s="110"/>
      <c r="IU205" s="110"/>
      <c r="IV205" s="110"/>
    </row>
    <row r="207" spans="1:26" s="121" customFormat="1" ht="12.75">
      <c r="A207" s="39"/>
      <c r="B207" s="39"/>
      <c r="C207" s="78" t="s">
        <v>292</v>
      </c>
      <c r="D207" s="78"/>
      <c r="E207" s="78"/>
      <c r="F207" s="78"/>
      <c r="G207" s="78"/>
      <c r="H207" s="78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56" ht="12.75">
      <c r="A208" t="s">
        <v>178</v>
      </c>
      <c r="B208" s="5">
        <f>0.5*$O$5*(B148^2+B149^2)+0.5*$Q$5*B39^2</f>
        <v>0.5975897920604919</v>
      </c>
      <c r="C208" s="5">
        <f>0.5*$O$5*(C148^2+C149^2)+0.5*$Q$5*C39^2</f>
        <v>0.3648838431919369</v>
      </c>
      <c r="D208" s="5">
        <f>0.5*$O$5*(D148^2+D149^2)+0.5*$Q$5*D39^2</f>
        <v>0.11091772627626248</v>
      </c>
      <c r="E208" s="5">
        <f>0.5*$O$5*(E148^2+E149^2)+0.5*$Q$5*E39^2</f>
        <v>0.0055410160651893055</v>
      </c>
      <c r="F208" s="5">
        <f>0.5*$O$5*(F148^2+F149^2)+0.5*$Q$5*F39^2</f>
        <v>0.014973469418300932</v>
      </c>
      <c r="G208" s="5">
        <f>0.5*$O$5*(G148^2+G149^2)+0.5*$Q$5*G39^2</f>
        <v>0.0657439140125194</v>
      </c>
      <c r="H208" s="5">
        <f>0.5*$O$5*(H148^2+H149^2)+0.5*$Q$5*H39^2</f>
        <v>0.11627164599322146</v>
      </c>
      <c r="I208" s="5">
        <f>0.5*$O$5*(I148^2+I149^2)+0.5*$Q$5*I39^2</f>
        <v>0.15139501216417667</v>
      </c>
      <c r="J208" s="5">
        <f>0.5*$O$5*(J148^2+J149^2)+0.5*$Q$5*J39^2</f>
        <v>0.16839429244860946</v>
      </c>
      <c r="K208" s="5">
        <f>0.5*$O$5*(K148^2+K149^2)+0.5*$Q$5*K39^2</f>
        <v>0.16931139053459246</v>
      </c>
      <c r="L208" s="5">
        <f>0.5*$O$5*(L148^2+L149^2)+0.5*$Q$5*L39^2</f>
        <v>0.15774310793352098</v>
      </c>
      <c r="M208" s="5">
        <f>0.5*$O$5*(M148^2+M149^2)+0.5*$Q$5*M39^2</f>
        <v>0.13759487100371282</v>
      </c>
      <c r="N208" s="5">
        <f>0.5*$O$5*(N148^2+N149^2)+0.5*$Q$5*N39^2</f>
        <v>0.11254004983980058</v>
      </c>
      <c r="O208" s="5">
        <f>0.5*$O$5*(O148^2+O149^2)+0.5*$Q$5*O39^2</f>
        <v>0.08572537383028794</v>
      </c>
      <c r="P208" s="5">
        <f>0.5*$O$5*(P148^2+P149^2)+0.5*$Q$5*P39^2</f>
        <v>0.05963096217595812</v>
      </c>
      <c r="Q208" s="5">
        <f>0.5*$O$5*(Q148^2+Q149^2)+0.5*$Q$5*Q39^2</f>
        <v>0.0361276848521063</v>
      </c>
      <c r="R208" s="5">
        <f>0.5*$O$5*(R148^2+R149^2)+0.5*$Q$5*R39^2</f>
        <v>0.0168037884244093</v>
      </c>
      <c r="S208" s="5">
        <f>0.5*$O$5*(S148^2+S149^2)+0.5*$Q$5*S39^2</f>
        <v>0.0036666159762077733</v>
      </c>
      <c r="T208" s="5">
        <f>0.5*$O$5*(T148^2+T149^2)+0.5*$Q$5*T39^2</f>
        <v>0.0004577645277400281</v>
      </c>
      <c r="U208" s="5">
        <f>0.5*$O$5*(U148^2+U149^2)+0.5*$Q$5*U39^2</f>
        <v>0.01506288549439069</v>
      </c>
      <c r="V208" s="5">
        <f>0.5*$O$5*(V148^2+V149^2)+0.5*$Q$5*V39^2</f>
        <v>0.06339930399814497</v>
      </c>
      <c r="W208" s="5">
        <f>0.5*$O$5*(W148^2+W149^2)+0.5*$Q$5*W39^2</f>
        <v>0.17199593547346403</v>
      </c>
      <c r="X208" s="5">
        <f>0.5*$O$5*(X148^2+X149^2)+0.5*$Q$5*X39^2</f>
        <v>0.36133005534037094</v>
      </c>
      <c r="Y208" s="5">
        <f>0.5*$O$5*(Y148^2+Y149^2)+0.5*$Q$5*Y39^2</f>
        <v>0.5702895019517563</v>
      </c>
      <c r="Z208" s="5">
        <f>0.5*$O$5*(Z148^2+Z149^2)+0.5*$Q$5*Z39^2</f>
        <v>0.5975897920604922</v>
      </c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  <c r="DP208" s="108"/>
      <c r="DQ208" s="108"/>
      <c r="DR208" s="108"/>
      <c r="DS208" s="108"/>
      <c r="DT208" s="108"/>
      <c r="DU208" s="108"/>
      <c r="DV208" s="108"/>
      <c r="DW208" s="108"/>
      <c r="DX208" s="108"/>
      <c r="DY208" s="108"/>
      <c r="DZ208" s="108"/>
      <c r="EA208" s="108"/>
      <c r="EB208" s="108"/>
      <c r="EC208" s="108"/>
      <c r="ED208" s="108"/>
      <c r="EE208" s="108"/>
      <c r="EF208" s="108"/>
      <c r="EG208" s="108"/>
      <c r="EH208" s="108"/>
      <c r="EI208" s="108"/>
      <c r="EJ208" s="108"/>
      <c r="EK208" s="108"/>
      <c r="EL208" s="108"/>
      <c r="EM208" s="108"/>
      <c r="EN208" s="108"/>
      <c r="EO208" s="108"/>
      <c r="EP208" s="108"/>
      <c r="EQ208" s="108"/>
      <c r="ER208" s="108"/>
      <c r="ES208" s="108"/>
      <c r="ET208" s="108"/>
      <c r="EU208" s="108"/>
      <c r="EV208" s="108"/>
      <c r="EW208" s="108"/>
      <c r="EX208" s="108"/>
      <c r="EY208" s="108"/>
      <c r="EZ208" s="108"/>
      <c r="FA208" s="108"/>
      <c r="FB208" s="108"/>
      <c r="FC208" s="108"/>
      <c r="FD208" s="108"/>
      <c r="FE208" s="108"/>
      <c r="FF208" s="108"/>
      <c r="FG208" s="108"/>
      <c r="FH208" s="108"/>
      <c r="FI208" s="108"/>
      <c r="FJ208" s="108"/>
      <c r="FK208" s="108"/>
      <c r="FL208" s="108"/>
      <c r="FM208" s="108"/>
      <c r="FN208" s="108"/>
      <c r="FO208" s="108"/>
      <c r="FP208" s="108"/>
      <c r="FQ208" s="108"/>
      <c r="FR208" s="108"/>
      <c r="FS208" s="108"/>
      <c r="FT208" s="108"/>
      <c r="FU208" s="108"/>
      <c r="FV208" s="108"/>
      <c r="FW208" s="108"/>
      <c r="FX208" s="108"/>
      <c r="FY208" s="108"/>
      <c r="FZ208" s="108"/>
      <c r="GA208" s="108"/>
      <c r="GB208" s="108"/>
      <c r="GC208" s="108"/>
      <c r="GD208" s="108"/>
      <c r="GE208" s="108"/>
      <c r="GF208" s="108"/>
      <c r="GG208" s="108"/>
      <c r="GH208" s="108"/>
      <c r="GI208" s="108"/>
      <c r="GJ208" s="108"/>
      <c r="GK208" s="108"/>
      <c r="GL208" s="108"/>
      <c r="GM208" s="108"/>
      <c r="GN208" s="108"/>
      <c r="GO208" s="108"/>
      <c r="GP208" s="108"/>
      <c r="GQ208" s="108"/>
      <c r="GR208" s="108"/>
      <c r="GS208" s="108"/>
      <c r="GT208" s="108"/>
      <c r="GU208" s="108"/>
      <c r="GV208" s="108"/>
      <c r="GW208" s="108"/>
      <c r="GX208" s="108"/>
      <c r="GY208" s="108"/>
      <c r="GZ208" s="108"/>
      <c r="HA208" s="108"/>
      <c r="HB208" s="108"/>
      <c r="HC208" s="108"/>
      <c r="HD208" s="108"/>
      <c r="HE208" s="108"/>
      <c r="HF208" s="108"/>
      <c r="HG208" s="108"/>
      <c r="HH208" s="108"/>
      <c r="HI208" s="108"/>
      <c r="HJ208" s="108"/>
      <c r="HK208" s="108"/>
      <c r="HL208" s="108"/>
      <c r="HM208" s="108"/>
      <c r="HN208" s="108"/>
      <c r="HO208" s="108"/>
      <c r="HP208" s="108"/>
      <c r="HQ208" s="108"/>
      <c r="HR208" s="108"/>
      <c r="HS208" s="108"/>
      <c r="HT208" s="108"/>
      <c r="HU208" s="108"/>
      <c r="HV208" s="108"/>
      <c r="HW208" s="108"/>
      <c r="HX208" s="108"/>
      <c r="HY208" s="108"/>
      <c r="HZ208" s="108"/>
      <c r="IA208" s="108"/>
      <c r="IB208" s="108"/>
      <c r="IC208" s="108"/>
      <c r="ID208" s="108"/>
      <c r="IE208" s="108"/>
      <c r="IF208" s="108"/>
      <c r="IG208" s="108"/>
      <c r="IH208" s="108"/>
      <c r="II208" s="108"/>
      <c r="IJ208" s="108"/>
      <c r="IK208" s="108"/>
      <c r="IL208" s="108"/>
      <c r="IM208" s="108"/>
      <c r="IN208" s="108"/>
      <c r="IO208" s="108"/>
      <c r="IP208" s="108"/>
      <c r="IQ208" s="108"/>
      <c r="IR208" s="108"/>
      <c r="IS208" s="108"/>
      <c r="IT208" s="108"/>
      <c r="IU208" s="108"/>
      <c r="IV208" s="108"/>
    </row>
    <row r="209" spans="1:256" ht="12.75">
      <c r="A209" t="s">
        <v>179</v>
      </c>
      <c r="B209" s="5">
        <f>$O$5*B150</f>
        <v>-0.6374509101143264</v>
      </c>
      <c r="C209" s="5">
        <f>$O$5*C150</f>
        <v>-0.9332781223920074</v>
      </c>
      <c r="D209" s="5">
        <f>$O$5*D150</f>
        <v>-0.7508496368599119</v>
      </c>
      <c r="E209" s="5">
        <f>$O$5*E150</f>
        <v>-0.5136661855545338</v>
      </c>
      <c r="F209" s="5">
        <f>$O$5*F150</f>
        <v>-0.3776579665874378</v>
      </c>
      <c r="G209" s="5">
        <f>$O$5*G150</f>
        <v>-0.3080842676198464</v>
      </c>
      <c r="H209" s="5">
        <f>$O$5*H150</f>
        <v>-0.2578580281973243</v>
      </c>
      <c r="I209" s="5">
        <f>$O$5*I150</f>
        <v>-0.20449350906327</v>
      </c>
      <c r="J209" s="5">
        <f>$O$5*J150</f>
        <v>-0.1424921905687256</v>
      </c>
      <c r="K209" s="5">
        <f>$O$5*K150</f>
        <v>-0.07438869272496741</v>
      </c>
      <c r="L209" s="5">
        <f>$O$5*L150</f>
        <v>-0.005588353554458636</v>
      </c>
      <c r="M209" s="5">
        <f>$O$5*M150</f>
        <v>0.058497982068300654</v>
      </c>
      <c r="N209" s="5">
        <f>$O$5*N150</f>
        <v>0.1141465536795219</v>
      </c>
      <c r="O209" s="5">
        <f>$O$5*O150</f>
        <v>0.16022359097186442</v>
      </c>
      <c r="P209" s="5">
        <f>$O$5*P150</f>
        <v>0.19841108660751627</v>
      </c>
      <c r="Q209" s="5">
        <f>$O$5*Q150</f>
        <v>0.2329386164841252</v>
      </c>
      <c r="R209" s="5">
        <f>$O$5*R150</f>
        <v>0.27014226499856064</v>
      </c>
      <c r="S209" s="5">
        <f>$O$5*S150</f>
        <v>0.3181107789324224</v>
      </c>
      <c r="T209" s="5">
        <f>$O$5*T150</f>
        <v>0.38615745367724735</v>
      </c>
      <c r="U209" s="5">
        <f>$O$5*U150</f>
        <v>0.48224068102998635</v>
      </c>
      <c r="V209" s="5">
        <f>$O$5*V150</f>
        <v>0.6019560768550203</v>
      </c>
      <c r="W209" s="5">
        <f>$O$5*W150</f>
        <v>0.6939933958353895</v>
      </c>
      <c r="X209" s="5">
        <f>$O$5*X150</f>
        <v>0.5972162707828945</v>
      </c>
      <c r="Y209" s="5">
        <f>$O$5*Y150</f>
        <v>0.09177278896106489</v>
      </c>
      <c r="Z209" s="5">
        <f>$O$5*Z150</f>
        <v>-0.6374509101143266</v>
      </c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/>
      <c r="DT209" s="108"/>
      <c r="DU209" s="108"/>
      <c r="DV209" s="108"/>
      <c r="DW209" s="108"/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/>
      <c r="FB209" s="108"/>
      <c r="FC209" s="108"/>
      <c r="FD209" s="108"/>
      <c r="FE209" s="108"/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GJ209" s="108"/>
      <c r="GK209" s="108"/>
      <c r="GL209" s="108"/>
      <c r="GM209" s="108"/>
      <c r="GN209" s="108"/>
      <c r="GO209" s="108"/>
      <c r="GP209" s="108"/>
      <c r="GQ209" s="108"/>
      <c r="GR209" s="108"/>
      <c r="GS209" s="108"/>
      <c r="GT209" s="108"/>
      <c r="GU209" s="108"/>
      <c r="GV209" s="108"/>
      <c r="GW209" s="108"/>
      <c r="GX209" s="108"/>
      <c r="GY209" s="108"/>
      <c r="GZ209" s="108"/>
      <c r="HA209" s="108"/>
      <c r="HB209" s="108"/>
      <c r="HC209" s="108"/>
      <c r="HD209" s="108"/>
      <c r="HE209" s="108"/>
      <c r="HF209" s="108"/>
      <c r="HG209" s="108"/>
      <c r="HH209" s="108"/>
      <c r="HI209" s="108"/>
      <c r="HJ209" s="108"/>
      <c r="HK209" s="108"/>
      <c r="HL209" s="108"/>
      <c r="HM209" s="108"/>
      <c r="HN209" s="108"/>
      <c r="HO209" s="108"/>
      <c r="HP209" s="108"/>
      <c r="HQ209" s="108"/>
      <c r="HR209" s="108"/>
      <c r="HS209" s="108"/>
      <c r="HT209" s="108"/>
      <c r="HU209" s="108"/>
      <c r="HV209" s="108"/>
      <c r="HW209" s="108"/>
      <c r="HX209" s="108"/>
      <c r="HY209" s="108"/>
      <c r="HZ209" s="108"/>
      <c r="IA209" s="108"/>
      <c r="IB209" s="108"/>
      <c r="IC209" s="108"/>
      <c r="ID209" s="108"/>
      <c r="IE209" s="108"/>
      <c r="IF209" s="108"/>
      <c r="IG209" s="108"/>
      <c r="IH209" s="108"/>
      <c r="II209" s="108"/>
      <c r="IJ209" s="108"/>
      <c r="IK209" s="108"/>
      <c r="IL209" s="108"/>
      <c r="IM209" s="108"/>
      <c r="IN209" s="108"/>
      <c r="IO209" s="108"/>
      <c r="IP209" s="108"/>
      <c r="IQ209" s="108"/>
      <c r="IR209" s="108"/>
      <c r="IS209" s="108"/>
      <c r="IT209" s="108"/>
      <c r="IU209" s="108"/>
      <c r="IV209" s="108"/>
    </row>
    <row r="210" spans="1:256" ht="12.75">
      <c r="A210" t="s">
        <v>180</v>
      </c>
      <c r="B210" s="5">
        <f>$O$5*B151</f>
        <v>-0.1961429521636472</v>
      </c>
      <c r="C210" s="5">
        <f>$O$5*C151</f>
        <v>0.5936630020680634</v>
      </c>
      <c r="D210" s="5">
        <f>$O$5*D151</f>
        <v>0.9550760664706044</v>
      </c>
      <c r="E210" s="5">
        <f>$O$5*E151</f>
        <v>0.8570354947166339</v>
      </c>
      <c r="F210" s="5">
        <f>$O$5*F151</f>
        <v>0.6005353431731691</v>
      </c>
      <c r="G210" s="5">
        <f>$O$5*G151</f>
        <v>0.351949731610912</v>
      </c>
      <c r="H210" s="5">
        <f>$O$5*H151</f>
        <v>0.15486075193591012</v>
      </c>
      <c r="I210" s="5">
        <f>$O$5*I151</f>
        <v>0.010688039501166965</v>
      </c>
      <c r="J210" s="5">
        <f>$O$5*J151</f>
        <v>-0.0876245341010092</v>
      </c>
      <c r="K210" s="5">
        <f>$O$5*K151</f>
        <v>-0.1474505237094484</v>
      </c>
      <c r="L210" s="5">
        <f>$O$5*L151</f>
        <v>-0.1757736115474844</v>
      </c>
      <c r="M210" s="5">
        <f>$O$5*M151</f>
        <v>-0.17967331593362415</v>
      </c>
      <c r="N210" s="5">
        <f>$O$5*N151</f>
        <v>-0.16642256291821256</v>
      </c>
      <c r="O210" s="5">
        <f>$O$5*O151</f>
        <v>-0.14307239440943867</v>
      </c>
      <c r="P210" s="5">
        <f>$O$5*P151</f>
        <v>-0.115863168984148</v>
      </c>
      <c r="Q210" s="5">
        <f>$O$5*Q151</f>
        <v>-0.08990029033528993</v>
      </c>
      <c r="R210" s="5">
        <f>$O$5*R151</f>
        <v>-0.06944226692442847</v>
      </c>
      <c r="S210" s="5">
        <f>$O$5*S151</f>
        <v>-0.059053740993190565</v>
      </c>
      <c r="T210" s="5">
        <f>$O$5*T151</f>
        <v>-0.06596994353380127</v>
      </c>
      <c r="U210" s="5">
        <f>$O$5*U151</f>
        <v>-0.10420328271599685</v>
      </c>
      <c r="V210" s="5">
        <f>$O$5*V151</f>
        <v>-0.19962521598799104</v>
      </c>
      <c r="W210" s="5">
        <f>$O$5*W151</f>
        <v>-0.38489748438378546</v>
      </c>
      <c r="X210" s="5">
        <f>$O$5*X151</f>
        <v>-0.6362873754901426</v>
      </c>
      <c r="Y210" s="5">
        <f>$O$5*Y151</f>
        <v>-0.7024059886833833</v>
      </c>
      <c r="Z210" s="5">
        <f>$O$5*Z151</f>
        <v>-0.19614295216364747</v>
      </c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8"/>
      <c r="ER210" s="108"/>
      <c r="ES210" s="108"/>
      <c r="ET210" s="108"/>
      <c r="EU210" s="108"/>
      <c r="EV210" s="108"/>
      <c r="EW210" s="108"/>
      <c r="EX210" s="108"/>
      <c r="EY210" s="108"/>
      <c r="EZ210" s="108"/>
      <c r="FA210" s="108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/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  <c r="GZ210" s="108"/>
      <c r="HA210" s="108"/>
      <c r="HB210" s="108"/>
      <c r="HC210" s="108"/>
      <c r="HD210" s="108"/>
      <c r="HE210" s="108"/>
      <c r="HF210" s="108"/>
      <c r="HG210" s="108"/>
      <c r="HH210" s="108"/>
      <c r="HI210" s="108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 s="108"/>
      <c r="IR210" s="108"/>
      <c r="IS210" s="108"/>
      <c r="IT210" s="108"/>
      <c r="IU210" s="108"/>
      <c r="IV210" s="108"/>
    </row>
    <row r="211" spans="1:256" ht="12.75">
      <c r="A211" t="s">
        <v>181</v>
      </c>
      <c r="B211" s="5">
        <f>B43*$Q$5</f>
        <v>0.25465317854532804</v>
      </c>
      <c r="C211" s="5">
        <f>C43*$Q$5</f>
        <v>0.7800575257140041</v>
      </c>
      <c r="D211" s="5">
        <f>D43*$Q$5</f>
        <v>0.899559432707984</v>
      </c>
      <c r="E211" s="5">
        <f>E43*$Q$5</f>
        <v>0.7426749613154956</v>
      </c>
      <c r="F211" s="5">
        <f>F43*$Q$5</f>
        <v>0.5271955736400941</v>
      </c>
      <c r="G211" s="5">
        <f>G43*$Q$5</f>
        <v>0.3445081458425136</v>
      </c>
      <c r="H211" s="5">
        <f>H43*$Q$5</f>
        <v>0.2076929889163559</v>
      </c>
      <c r="I211" s="5">
        <f>I43*$Q$5</f>
        <v>0.10749759801843276</v>
      </c>
      <c r="J211" s="5">
        <f>J43*$Q$5</f>
        <v>0.033088242292318666</v>
      </c>
      <c r="K211" s="5">
        <f>K43*$Q$5</f>
        <v>-0.023398089039717827</v>
      </c>
      <c r="L211" s="5">
        <f>L43*$Q$5</f>
        <v>-0.06694709881156385</v>
      </c>
      <c r="M211" s="5">
        <f>M43*$Q$5</f>
        <v>-0.10067530536403127</v>
      </c>
      <c r="N211" s="5">
        <f>N43*$Q$5</f>
        <v>-0.1268248454327102</v>
      </c>
      <c r="O211" s="5">
        <f>O43*$Q$5</f>
        <v>-0.1475454732157453</v>
      </c>
      <c r="P211" s="5">
        <f>P43*$Q$5</f>
        <v>-0.16542402097755662</v>
      </c>
      <c r="Q211" s="5">
        <f>Q43*$Q$5</f>
        <v>-0.18379922937809146</v>
      </c>
      <c r="R211" s="5">
        <f>R43*$Q$5</f>
        <v>-0.20697794853433066</v>
      </c>
      <c r="S211" s="5">
        <f>S43*$Q$5</f>
        <v>-0.24047545562926914</v>
      </c>
      <c r="T211" s="5">
        <f>T43*$Q$5</f>
        <v>-0.29118676995447834</v>
      </c>
      <c r="U211" s="5">
        <f>U43*$Q$5</f>
        <v>-0.36656262100065173</v>
      </c>
      <c r="V211" s="5">
        <f>V43*$Q$5</f>
        <v>-0.4692275644621956</v>
      </c>
      <c r="W211" s="5">
        <f>W43*$Q$5</f>
        <v>-0.5770224448698262</v>
      </c>
      <c r="X211" s="5">
        <f>X43*$Q$5</f>
        <v>-0.5954792333857327</v>
      </c>
      <c r="Y211" s="5">
        <f>Y43*$Q$5</f>
        <v>-0.3353815420971394</v>
      </c>
      <c r="Z211" s="5">
        <f>Z43*$Q$5</f>
        <v>0.25465317854532804</v>
      </c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/>
      <c r="DU211" s="108"/>
      <c r="DV211" s="108"/>
      <c r="DW211" s="108"/>
      <c r="DX211" s="108"/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8"/>
      <c r="EO211" s="108"/>
      <c r="EP211" s="108"/>
      <c r="EQ211" s="108"/>
      <c r="ER211" s="108"/>
      <c r="ES211" s="108"/>
      <c r="ET211" s="108"/>
      <c r="EU211" s="108"/>
      <c r="EV211" s="108"/>
      <c r="EW211" s="108"/>
      <c r="EX211" s="108"/>
      <c r="EY211" s="108"/>
      <c r="EZ211" s="108"/>
      <c r="FA211" s="108"/>
      <c r="FB211" s="108"/>
      <c r="FC211" s="108"/>
      <c r="FD211" s="108"/>
      <c r="FE211" s="108"/>
      <c r="FF211" s="108"/>
      <c r="FG211" s="108"/>
      <c r="FH211" s="108"/>
      <c r="FI211" s="108"/>
      <c r="FJ211" s="108"/>
      <c r="FK211" s="108"/>
      <c r="FL211" s="108"/>
      <c r="FM211" s="108"/>
      <c r="FN211" s="108"/>
      <c r="FO211" s="108"/>
      <c r="FP211" s="108"/>
      <c r="FQ211" s="108"/>
      <c r="FR211" s="108"/>
      <c r="FS211" s="108"/>
      <c r="FT211" s="108"/>
      <c r="FU211" s="108"/>
      <c r="FV211" s="108"/>
      <c r="FW211" s="108"/>
      <c r="FX211" s="108"/>
      <c r="FY211" s="108"/>
      <c r="FZ211" s="108"/>
      <c r="GA211" s="108"/>
      <c r="GB211" s="108"/>
      <c r="GC211" s="108"/>
      <c r="GD211" s="108"/>
      <c r="GE211" s="108"/>
      <c r="GF211" s="108"/>
      <c r="GG211" s="108"/>
      <c r="GH211" s="108"/>
      <c r="GI211" s="108"/>
      <c r="GJ211" s="108"/>
      <c r="GK211" s="108"/>
      <c r="GL211" s="108"/>
      <c r="GM211" s="108"/>
      <c r="GN211" s="108"/>
      <c r="GO211" s="108"/>
      <c r="GP211" s="108"/>
      <c r="GQ211" s="108"/>
      <c r="GR211" s="108"/>
      <c r="GS211" s="108"/>
      <c r="GT211" s="108"/>
      <c r="GU211" s="108"/>
      <c r="GV211" s="108"/>
      <c r="GW211" s="108"/>
      <c r="GX211" s="108"/>
      <c r="GY211" s="108"/>
      <c r="GZ211" s="108"/>
      <c r="HA211" s="108"/>
      <c r="HB211" s="108"/>
      <c r="HC211" s="108"/>
      <c r="HD211" s="108"/>
      <c r="HE211" s="108"/>
      <c r="HF211" s="108"/>
      <c r="HG211" s="108"/>
      <c r="HH211" s="108"/>
      <c r="HI211" s="108"/>
      <c r="HJ211" s="108"/>
      <c r="HK211" s="108"/>
      <c r="HL211" s="108"/>
      <c r="HM211" s="108"/>
      <c r="HN211" s="108"/>
      <c r="HO211" s="108"/>
      <c r="HP211" s="108"/>
      <c r="HQ211" s="108"/>
      <c r="HR211" s="108"/>
      <c r="HS211" s="108"/>
      <c r="HT211" s="108"/>
      <c r="HU211" s="108"/>
      <c r="HV211" s="108"/>
      <c r="HW211" s="108"/>
      <c r="HX211" s="108"/>
      <c r="HY211" s="108"/>
      <c r="HZ211" s="108"/>
      <c r="IA211" s="108"/>
      <c r="IB211" s="108"/>
      <c r="IC211" s="108"/>
      <c r="ID211" s="108"/>
      <c r="IE211" s="108"/>
      <c r="IF211" s="108"/>
      <c r="IG211" s="108"/>
      <c r="IH211" s="108"/>
      <c r="II211" s="108"/>
      <c r="IJ211" s="108"/>
      <c r="IK211" s="108"/>
      <c r="IL211" s="108"/>
      <c r="IM211" s="108"/>
      <c r="IN211" s="108"/>
      <c r="IO211" s="108"/>
      <c r="IP211" s="108"/>
      <c r="IQ211" s="108"/>
      <c r="IR211" s="108"/>
      <c r="IS211" s="108"/>
      <c r="IT211" s="108"/>
      <c r="IU211" s="108"/>
      <c r="IV211" s="108"/>
    </row>
    <row r="212" spans="1:256" ht="12.75">
      <c r="A212" t="s">
        <v>202</v>
      </c>
      <c r="B212" s="5">
        <f>B209*B148+B210*B149+B211*B39</f>
        <v>-0.46667962937763396</v>
      </c>
      <c r="C212" s="5">
        <f>C209*C148+C210*C149+C211*C39</f>
        <v>-1.1170486953627885</v>
      </c>
      <c r="D212" s="5">
        <f>D209*D148+D210*D149+D211*D39</f>
        <v>-0.710229159346067</v>
      </c>
      <c r="E212" s="5">
        <f>E209*E148+E210*E149+E211*E39</f>
        <v>-0.13105742921908672</v>
      </c>
      <c r="F212" s="5">
        <f>F209*F148+F210*F149+F211*F39</f>
        <v>0.15293297361524996</v>
      </c>
      <c r="G212" s="5">
        <f>G209*G148+G210*G149+G211*G39</f>
        <v>0.20940904244721598</v>
      </c>
      <c r="H212" s="5">
        <f>H209*H148+H210*H149+H211*H39</f>
        <v>0.16789080226758696</v>
      </c>
      <c r="I212" s="5">
        <f>I209*I148+I210*I149+I211*I39</f>
        <v>0.0991568454186958</v>
      </c>
      <c r="J212" s="5">
        <f>J209*J148+J210*J149+J211*J39</f>
        <v>0.03218885575854363</v>
      </c>
      <c r="K212" s="5">
        <f>K209*K148+K210*K149+K211*K39</f>
        <v>-0.022823993521143518</v>
      </c>
      <c r="L212" s="5">
        <f>L209*L148+L210*L149+L211*L39</f>
        <v>-0.06303403605408997</v>
      </c>
      <c r="M212" s="5">
        <f>M209*M148+M210*M149+M211*M39</f>
        <v>-0.08853036118536292</v>
      </c>
      <c r="N212" s="5">
        <f>N209*N148+N210*N149+N211*N39</f>
        <v>-0.10086164594318361</v>
      </c>
      <c r="O212" s="5">
        <f>O209*O148+O210*O149+O211*O39</f>
        <v>-0.10241150330828583</v>
      </c>
      <c r="P212" s="5">
        <f>P209*P148+P210*P149+P211*P39</f>
        <v>-0.09576407967879619</v>
      </c>
      <c r="Q212" s="5">
        <f>Q209*Q148+Q210*Q149+Q211*Q39</f>
        <v>-0.08281936758520914</v>
      </c>
      <c r="R212" s="5">
        <f>R209*R148+R210*R149+R211*R39</f>
        <v>-0.0636056709628206</v>
      </c>
      <c r="S212" s="5">
        <f>S209*S148+S210*S149+S211*S39</f>
        <v>-0.0345200667849001</v>
      </c>
      <c r="T212" s="5">
        <f>T209*T148+T210*T149+T211*T39</f>
        <v>0.014769332396832112</v>
      </c>
      <c r="U212" s="5">
        <f>U209*U148+U210*U149+U211*U39</f>
        <v>0.10665234829286836</v>
      </c>
      <c r="V212" s="5">
        <f>V209*V148+V210*V149+V211*V39</f>
        <v>0.28008762398640447</v>
      </c>
      <c r="W212" s="5">
        <f>W209*W148+W210*W149+W211*W39</f>
        <v>0.5673093695577798</v>
      </c>
      <c r="X212" s="5">
        <f>X209*X148+X210*X149+X211*X39</f>
        <v>0.8485683359217091</v>
      </c>
      <c r="Y212" s="5">
        <f>Y209*Y148+Y210*Y149+Y211*Y39</f>
        <v>0.6004197973736047</v>
      </c>
      <c r="Z212" s="5">
        <f>Z209*Z148+Z210*Z149+Z211*Z39</f>
        <v>-0.4666796293776341</v>
      </c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/>
      <c r="DT212" s="108"/>
      <c r="DU212" s="108"/>
      <c r="DV212" s="108"/>
      <c r="DW212" s="108"/>
      <c r="DX212" s="108"/>
      <c r="DY212" s="108"/>
      <c r="DZ212" s="108"/>
      <c r="EA212" s="108"/>
      <c r="EB212" s="108"/>
      <c r="EC212" s="108"/>
      <c r="ED212" s="108"/>
      <c r="EE212" s="108"/>
      <c r="EF212" s="108"/>
      <c r="EG212" s="108"/>
      <c r="EH212" s="108"/>
      <c r="EI212" s="108"/>
      <c r="EJ212" s="108"/>
      <c r="EK212" s="108"/>
      <c r="EL212" s="108"/>
      <c r="EM212" s="108"/>
      <c r="EN212" s="108"/>
      <c r="EO212" s="108"/>
      <c r="EP212" s="108"/>
      <c r="EQ212" s="108"/>
      <c r="ER212" s="108"/>
      <c r="ES212" s="108"/>
      <c r="ET212" s="108"/>
      <c r="EU212" s="108"/>
      <c r="EV212" s="108"/>
      <c r="EW212" s="108"/>
      <c r="EX212" s="108"/>
      <c r="EY212" s="108"/>
      <c r="EZ212" s="108"/>
      <c r="FA212" s="108"/>
      <c r="FB212" s="108"/>
      <c r="FC212" s="108"/>
      <c r="FD212" s="108"/>
      <c r="FE212" s="108"/>
      <c r="FF212" s="108"/>
      <c r="FG212" s="108"/>
      <c r="FH212" s="108"/>
      <c r="FI212" s="108"/>
      <c r="FJ212" s="108"/>
      <c r="FK212" s="108"/>
      <c r="FL212" s="108"/>
      <c r="FM212" s="108"/>
      <c r="FN212" s="108"/>
      <c r="FO212" s="108"/>
      <c r="FP212" s="108"/>
      <c r="FQ212" s="108"/>
      <c r="FR212" s="108"/>
      <c r="FS212" s="108"/>
      <c r="FT212" s="108"/>
      <c r="FU212" s="108"/>
      <c r="FV212" s="108"/>
      <c r="FW212" s="108"/>
      <c r="FX212" s="108"/>
      <c r="FY212" s="108"/>
      <c r="FZ212" s="108"/>
      <c r="GA212" s="108"/>
      <c r="GB212" s="108"/>
      <c r="GC212" s="108"/>
      <c r="GD212" s="108"/>
      <c r="GE212" s="108"/>
      <c r="GF212" s="108"/>
      <c r="GG212" s="108"/>
      <c r="GH212" s="108"/>
      <c r="GI212" s="108"/>
      <c r="GJ212" s="108"/>
      <c r="GK212" s="108"/>
      <c r="GL212" s="108"/>
      <c r="GM212" s="108"/>
      <c r="GN212" s="108"/>
      <c r="GO212" s="108"/>
      <c r="GP212" s="108"/>
      <c r="GQ212" s="108"/>
      <c r="GR212" s="108"/>
      <c r="GS212" s="108"/>
      <c r="GT212" s="108"/>
      <c r="GU212" s="108"/>
      <c r="GV212" s="108"/>
      <c r="GW212" s="108"/>
      <c r="GX212" s="108"/>
      <c r="GY212" s="108"/>
      <c r="GZ212" s="108"/>
      <c r="HA212" s="108"/>
      <c r="HB212" s="108"/>
      <c r="HC212" s="108"/>
      <c r="HD212" s="108"/>
      <c r="HE212" s="108"/>
      <c r="HF212" s="108"/>
      <c r="HG212" s="108"/>
      <c r="HH212" s="108"/>
      <c r="HI212" s="108"/>
      <c r="HJ212" s="108"/>
      <c r="HK212" s="108"/>
      <c r="HL212" s="108"/>
      <c r="HM212" s="108"/>
      <c r="HN212" s="108"/>
      <c r="HO212" s="108"/>
      <c r="HP212" s="108"/>
      <c r="HQ212" s="108"/>
      <c r="HR212" s="108"/>
      <c r="HS212" s="108"/>
      <c r="HT212" s="108"/>
      <c r="HU212" s="108"/>
      <c r="HV212" s="108"/>
      <c r="HW212" s="108"/>
      <c r="HX212" s="108"/>
      <c r="HY212" s="108"/>
      <c r="HZ212" s="108"/>
      <c r="IA212" s="108"/>
      <c r="IB212" s="108"/>
      <c r="IC212" s="108"/>
      <c r="ID212" s="108"/>
      <c r="IE212" s="108"/>
      <c r="IF212" s="108"/>
      <c r="IG212" s="108"/>
      <c r="IH212" s="108"/>
      <c r="II212" s="108"/>
      <c r="IJ212" s="108"/>
      <c r="IK212" s="108"/>
      <c r="IL212" s="108"/>
      <c r="IM212" s="108"/>
      <c r="IN212" s="108"/>
      <c r="IO212" s="108"/>
      <c r="IP212" s="108"/>
      <c r="IQ212" s="108"/>
      <c r="IR212" s="108"/>
      <c r="IS212" s="108"/>
      <c r="IT212" s="108"/>
      <c r="IU212" s="108"/>
      <c r="IV212" s="108"/>
    </row>
    <row r="213" spans="1:256" ht="12.75">
      <c r="A213" t="s">
        <v>203</v>
      </c>
      <c r="B213" s="5">
        <f>B149*$O$5*$S$5</f>
        <v>-5.869565217391308</v>
      </c>
      <c r="C213" s="5">
        <f>C149*$O$5*$S$5</f>
        <v>-5.318761399903959</v>
      </c>
      <c r="D213" s="5">
        <f>D149*$O$5*$S$5</f>
        <v>-3.1645617303758096</v>
      </c>
      <c r="E213" s="5">
        <f>E149*$O$5*$S$5</f>
        <v>-0.726983174157336</v>
      </c>
      <c r="F213" s="5">
        <f>F149*$O$5*$S$5</f>
        <v>1.1904157153973265</v>
      </c>
      <c r="G213" s="5">
        <f>G149*$O$5*$S$5</f>
        <v>2.4278484969927865</v>
      </c>
      <c r="H213" s="5">
        <f>H149*$O$5*$S$5</f>
        <v>3.079185298051886</v>
      </c>
      <c r="I213" s="5">
        <f>I149*$O$5*$S$5</f>
        <v>3.2850443239439917</v>
      </c>
      <c r="J213" s="5">
        <f>J149*$O$5*$S$5</f>
        <v>3.1751578643843676</v>
      </c>
      <c r="K213" s="5">
        <f>K149*$O$5*$S$5</f>
        <v>2.8598157484810183</v>
      </c>
      <c r="L213" s="5">
        <f>L149*$O$5*$S$5</f>
        <v>2.4306049286010922</v>
      </c>
      <c r="M213" s="5">
        <f>M149*$O$5*$S$5</f>
        <v>1.9607883036697271</v>
      </c>
      <c r="N213" s="5">
        <f>N149*$O$5*$S$5</f>
        <v>1.5047984333399358</v>
      </c>
      <c r="O213" s="5">
        <f>O149*$O$5*$S$5</f>
        <v>1.0981906410810485</v>
      </c>
      <c r="P213" s="5">
        <f>P149*$O$5*$S$5</f>
        <v>0.7590055827702786</v>
      </c>
      <c r="Q213" s="5">
        <f>Q149*$O$5*$S$5</f>
        <v>0.49041728010318664</v>
      </c>
      <c r="R213" s="5">
        <f>R149*$O$5*$S$5</f>
        <v>0.2834897624017165</v>
      </c>
      <c r="S213" s="5">
        <f>S149*$O$5*$S$5</f>
        <v>0.11810259230991597</v>
      </c>
      <c r="T213" s="5">
        <f>T149*$O$5*$S$5</f>
        <v>-0.04062590416446994</v>
      </c>
      <c r="U213" s="5">
        <f>U149*$O$5*$S$5</f>
        <v>-0.2542827676606122</v>
      </c>
      <c r="V213" s="5">
        <f>V149*$O$5*$S$5</f>
        <v>-0.6357790058930453</v>
      </c>
      <c r="W213" s="5">
        <f>W149*$O$5*$S$5</f>
        <v>-1.3790275445796616</v>
      </c>
      <c r="X213" s="5">
        <f>X149*$O$5*$S$5</f>
        <v>-2.715695580671777</v>
      </c>
      <c r="Y213" s="5">
        <f>Y149*$O$5*$S$5</f>
        <v>-4.557582787957274</v>
      </c>
      <c r="Z213" s="5">
        <f>Z149*$O$5*$S$5</f>
        <v>-5.869565217391309</v>
      </c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/>
      <c r="DU213" s="108"/>
      <c r="DV213" s="108"/>
      <c r="DW213" s="108"/>
      <c r="DX213" s="108"/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8"/>
      <c r="EO213" s="108"/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/>
      <c r="FC213" s="108"/>
      <c r="FD213" s="108"/>
      <c r="FE213" s="108"/>
      <c r="FF213" s="108"/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/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  <c r="GZ213" s="108"/>
      <c r="HA213" s="108"/>
      <c r="HB213" s="108"/>
      <c r="HC213" s="108"/>
      <c r="HD213" s="108"/>
      <c r="HE213" s="108"/>
      <c r="HF213" s="108"/>
      <c r="HG213" s="108"/>
      <c r="HH213" s="108"/>
      <c r="HI213" s="108"/>
      <c r="HJ213" s="108"/>
      <c r="HK213" s="108"/>
      <c r="HL213" s="108"/>
      <c r="HM213" s="108"/>
      <c r="HN213" s="108"/>
      <c r="HO213" s="108"/>
      <c r="HP213" s="108"/>
      <c r="HQ213" s="108"/>
      <c r="HR213" s="108"/>
      <c r="HS213" s="108"/>
      <c r="HT213" s="108"/>
      <c r="HU213" s="108"/>
      <c r="HV213" s="108"/>
      <c r="HW213" s="108"/>
      <c r="HX213" s="108"/>
      <c r="HY213" s="108"/>
      <c r="HZ213" s="108"/>
      <c r="IA213" s="108"/>
      <c r="IB213" s="108"/>
      <c r="IC213" s="108"/>
      <c r="ID213" s="108"/>
      <c r="IE213" s="108"/>
      <c r="IF213" s="108"/>
      <c r="IG213" s="108"/>
      <c r="IH213" s="108"/>
      <c r="II213" s="108"/>
      <c r="IJ213" s="108"/>
      <c r="IK213" s="108"/>
      <c r="IL213" s="108"/>
      <c r="IM213" s="108"/>
      <c r="IN213" s="108"/>
      <c r="IO213" s="108"/>
      <c r="IP213" s="108"/>
      <c r="IQ213" s="108"/>
      <c r="IR213" s="108"/>
      <c r="IS213" s="108"/>
      <c r="IT213" s="108"/>
      <c r="IU213" s="108"/>
      <c r="IV213" s="108"/>
    </row>
    <row r="215" spans="1:26" s="121" customFormat="1" ht="12.75">
      <c r="A215" s="39"/>
      <c r="B215" s="39"/>
      <c r="C215" s="78" t="s">
        <v>291</v>
      </c>
      <c r="D215" s="78"/>
      <c r="E215" s="78"/>
      <c r="F215" s="78"/>
      <c r="G215" s="78"/>
      <c r="H215" s="78"/>
      <c r="I215" s="78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t="s">
        <v>182</v>
      </c>
      <c r="B216" s="5">
        <f aca="true" t="shared" si="45" ref="B216:Z216">0.5*$O$6*(B155^2+B156^2)+0.5*$Q$6*B39^2</f>
        <v>0.6826559546313804</v>
      </c>
      <c r="C216" s="5">
        <f t="shared" si="45"/>
        <v>0.41682460378865416</v>
      </c>
      <c r="D216" s="5">
        <f t="shared" si="45"/>
        <v>0.12670672645793674</v>
      </c>
      <c r="E216" s="5">
        <f t="shared" si="45"/>
        <v>0.006329772800447577</v>
      </c>
      <c r="F216" s="5">
        <f t="shared" si="45"/>
        <v>0.017104924139767233</v>
      </c>
      <c r="G216" s="5">
        <f t="shared" si="45"/>
        <v>0.07510247828476406</v>
      </c>
      <c r="H216" s="5">
        <f t="shared" si="45"/>
        <v>0.13282276997802173</v>
      </c>
      <c r="I216" s="5">
        <f t="shared" si="45"/>
        <v>0.17294590357544734</v>
      </c>
      <c r="J216" s="5">
        <f t="shared" si="45"/>
        <v>0.19236501023488856</v>
      </c>
      <c r="K216" s="5">
        <f t="shared" si="45"/>
        <v>0.19341265609111807</v>
      </c>
      <c r="L216" s="5">
        <f t="shared" si="45"/>
        <v>0.18019764287067694</v>
      </c>
      <c r="M216" s="5">
        <f t="shared" si="45"/>
        <v>0.15718132950957955</v>
      </c>
      <c r="N216" s="5">
        <f t="shared" si="45"/>
        <v>0.1285599857600569</v>
      </c>
      <c r="O216" s="5">
        <f t="shared" si="45"/>
        <v>0.09792827401965272</v>
      </c>
      <c r="P216" s="5">
        <f t="shared" si="45"/>
        <v>0.06811935536826536</v>
      </c>
      <c r="Q216" s="5">
        <f t="shared" si="45"/>
        <v>0.041270415791907905</v>
      </c>
      <c r="R216" s="5">
        <f t="shared" si="45"/>
        <v>0.019195786776638385</v>
      </c>
      <c r="S216" s="5">
        <f t="shared" si="45"/>
        <v>0.004188554193461553</v>
      </c>
      <c r="T216" s="5">
        <f t="shared" si="45"/>
        <v>0.0005229267380944804</v>
      </c>
      <c r="U216" s="5">
        <f t="shared" si="45"/>
        <v>0.01720706848291605</v>
      </c>
      <c r="V216" s="5">
        <f t="shared" si="45"/>
        <v>0.0724241159551763</v>
      </c>
      <c r="W216" s="5">
        <f t="shared" si="45"/>
        <v>0.19647934265829894</v>
      </c>
      <c r="X216" s="5">
        <f t="shared" si="45"/>
        <v>0.4127649386628434</v>
      </c>
      <c r="Y216" s="5">
        <f t="shared" si="45"/>
        <v>0.6514695022295864</v>
      </c>
      <c r="Z216" s="5">
        <f t="shared" si="45"/>
        <v>0.6826559546313808</v>
      </c>
    </row>
    <row r="217" spans="1:256" ht="12.75">
      <c r="A217" t="s">
        <v>183</v>
      </c>
      <c r="B217" s="5">
        <f>$O$6*B157</f>
        <v>-0.7227897272688837</v>
      </c>
      <c r="C217" s="5">
        <f>$O$6*C157</f>
        <v>-0.5959058803565046</v>
      </c>
      <c r="D217" s="5">
        <f>$O$6*D157</f>
        <v>-0.22882491587092335</v>
      </c>
      <c r="E217" s="5">
        <f>$O$6*E157</f>
        <v>-0.049651252262528436</v>
      </c>
      <c r="F217" s="5">
        <f>$O$6*F157</f>
        <v>-0.052027317778663276</v>
      </c>
      <c r="G217" s="5">
        <f>$O$6*G157</f>
        <v>-0.11484865523788039</v>
      </c>
      <c r="H217" s="5">
        <f>$O$6*H157</f>
        <v>-0.1694543730873902</v>
      </c>
      <c r="I217" s="5">
        <f>$O$6*I157</f>
        <v>-0.1932347726106335</v>
      </c>
      <c r="J217" s="5">
        <f>$O$6*J157</f>
        <v>-0.1845467197773017</v>
      </c>
      <c r="K217" s="5">
        <f>$O$6*K157</f>
        <v>-0.14972491531487211</v>
      </c>
      <c r="L217" s="5">
        <f>$O$6*L157</f>
        <v>-0.09769084708616427</v>
      </c>
      <c r="M217" s="5">
        <f>$O$6*M157</f>
        <v>-0.037421658395985644</v>
      </c>
      <c r="N217" s="5">
        <f>$O$6*N157</f>
        <v>0.02364447497439577</v>
      </c>
      <c r="O217" s="5">
        <f>$O$6*O157</f>
        <v>0.08070427923840598</v>
      </c>
      <c r="P217" s="5">
        <f>$O$6*P157</f>
        <v>0.132117956847673</v>
      </c>
      <c r="Q217" s="5">
        <f>$O$6*Q157</f>
        <v>0.17931861281410777</v>
      </c>
      <c r="R217" s="5">
        <f>$O$6*R157</f>
        <v>0.2262321728283203</v>
      </c>
      <c r="S217" s="5">
        <f>$O$6*S157</f>
        <v>0.2783281309268135</v>
      </c>
      <c r="T217" s="5">
        <f>$O$6*T157</f>
        <v>0.34086501221814586</v>
      </c>
      <c r="U217" s="5">
        <f>$O$6*U157</f>
        <v>0.4142267845483862</v>
      </c>
      <c r="V217" s="5">
        <f>$O$6*V157</f>
        <v>0.4805517900973727</v>
      </c>
      <c r="W217" s="5">
        <f>$O$6*W157</f>
        <v>0.4728042908871207</v>
      </c>
      <c r="X217" s="5">
        <f>$O$6*X157</f>
        <v>0.24675559660898366</v>
      </c>
      <c r="Y217" s="5">
        <f>$O$6*Y157</f>
        <v>-0.27942849761201105</v>
      </c>
      <c r="Z217" s="5">
        <f>$O$6*Z157</f>
        <v>-0.7227897272688841</v>
      </c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8"/>
      <c r="FD217" s="108"/>
      <c r="FE217" s="108"/>
      <c r="FF217" s="108"/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08"/>
      <c r="FS217" s="108"/>
      <c r="FT217" s="108"/>
      <c r="FU217" s="108"/>
      <c r="FV217" s="108"/>
      <c r="FW217" s="108"/>
      <c r="FX217" s="108"/>
      <c r="FY217" s="108"/>
      <c r="FZ217" s="108"/>
      <c r="GA217" s="108"/>
      <c r="GB217" s="108"/>
      <c r="GC217" s="108"/>
      <c r="GD217" s="108"/>
      <c r="GE217" s="108"/>
      <c r="GF217" s="108"/>
      <c r="GG217" s="108"/>
      <c r="GH217" s="108"/>
      <c r="GI217" s="108"/>
      <c r="GJ217" s="108"/>
      <c r="GK217" s="108"/>
      <c r="GL217" s="108"/>
      <c r="GM217" s="108"/>
      <c r="GN217" s="108"/>
      <c r="GO217" s="108"/>
      <c r="GP217" s="108"/>
      <c r="GQ217" s="108"/>
      <c r="GR217" s="108"/>
      <c r="GS217" s="108"/>
      <c r="GT217" s="108"/>
      <c r="GU217" s="108"/>
      <c r="GV217" s="108"/>
      <c r="GW217" s="108"/>
      <c r="GX217" s="108"/>
      <c r="GY217" s="108"/>
      <c r="GZ217" s="108"/>
      <c r="HA217" s="108"/>
      <c r="HB217" s="108"/>
      <c r="HC217" s="108"/>
      <c r="HD217" s="108"/>
      <c r="HE217" s="108"/>
      <c r="HF217" s="108"/>
      <c r="HG217" s="108"/>
      <c r="HH217" s="108"/>
      <c r="HI217" s="108"/>
      <c r="HJ217" s="108"/>
      <c r="HK217" s="108"/>
      <c r="HL217" s="108"/>
      <c r="HM217" s="108"/>
      <c r="HN217" s="108"/>
      <c r="HO217" s="108"/>
      <c r="HP217" s="108"/>
      <c r="HQ217" s="108"/>
      <c r="HR217" s="108"/>
      <c r="HS217" s="108"/>
      <c r="HT217" s="108"/>
      <c r="HU217" s="108"/>
      <c r="HV217" s="108"/>
      <c r="HW217" s="108"/>
      <c r="HX217" s="108"/>
      <c r="HY217" s="108"/>
      <c r="HZ217" s="108"/>
      <c r="IA217" s="108"/>
      <c r="IB217" s="108"/>
      <c r="IC217" s="108"/>
      <c r="ID217" s="108"/>
      <c r="IE217" s="108"/>
      <c r="IF217" s="108"/>
      <c r="IG217" s="108"/>
      <c r="IH217" s="108"/>
      <c r="II217" s="108"/>
      <c r="IJ217" s="108"/>
      <c r="IK217" s="108"/>
      <c r="IL217" s="108"/>
      <c r="IM217" s="108"/>
      <c r="IN217" s="108"/>
      <c r="IO217" s="108"/>
      <c r="IP217" s="108"/>
      <c r="IQ217" s="108"/>
      <c r="IR217" s="108"/>
      <c r="IS217" s="108"/>
      <c r="IT217" s="108"/>
      <c r="IU217" s="108"/>
      <c r="IV217" s="108"/>
    </row>
    <row r="218" spans="1:256" ht="12.75">
      <c r="A218" t="s">
        <v>184</v>
      </c>
      <c r="B218" s="5">
        <f>$O$6*B158</f>
        <v>0.14384904353623806</v>
      </c>
      <c r="C218" s="5">
        <f>$O$6*C158</f>
        <v>1.0671055800619886</v>
      </c>
      <c r="D218" s="5">
        <f>$O$6*D158</f>
        <v>1.3227851005553468</v>
      </c>
      <c r="E218" s="5">
        <f>$O$6*E158</f>
        <v>1.1029642800983894</v>
      </c>
      <c r="F218" s="5">
        <f>$O$6*F158</f>
        <v>0.7821642388082</v>
      </c>
      <c r="G218" s="5">
        <f>$O$6*G158</f>
        <v>0.5039290507591483</v>
      </c>
      <c r="H218" s="5">
        <f>$O$6*H158</f>
        <v>0.2859226796655581</v>
      </c>
      <c r="I218" s="5">
        <f>$O$6*I158</f>
        <v>0.11772363708959127</v>
      </c>
      <c r="J218" s="5">
        <f>$O$6*J158</f>
        <v>-0.010415248053860071</v>
      </c>
      <c r="K218" s="5">
        <f>$O$6*K158</f>
        <v>-0.10433351582315481</v>
      </c>
      <c r="L218" s="5">
        <f>$O$6*L158</f>
        <v>-0.16798487317504793</v>
      </c>
      <c r="M218" s="5">
        <f>$O$6*M158</f>
        <v>-0.20541332541882007</v>
      </c>
      <c r="N218" s="5">
        <f>$O$6*N158</f>
        <v>-0.22173642913348063</v>
      </c>
      <c r="O218" s="5">
        <f>$O$6*O158</f>
        <v>-0.22321537325076407</v>
      </c>
      <c r="P218" s="5">
        <f>$O$6*P158</f>
        <v>-0.21680094457969118</v>
      </c>
      <c r="Q218" s="5">
        <f>$O$6*Q158</f>
        <v>-0.20967745671272323</v>
      </c>
      <c r="R218" s="5">
        <f>$O$6*R158</f>
        <v>-0.20931134891471087</v>
      </c>
      <c r="S218" s="5">
        <f>$O$6*S158</f>
        <v>-0.2243866431678548</v>
      </c>
      <c r="T218" s="5">
        <f>$O$6*T158</f>
        <v>-0.26682689591871567</v>
      </c>
      <c r="U218" s="5">
        <f>$O$6*U158</f>
        <v>-0.3544344887064315</v>
      </c>
      <c r="V218" s="5">
        <f>$O$6*V158</f>
        <v>-0.5100545045033886</v>
      </c>
      <c r="W218" s="5">
        <f>$O$6*W158</f>
        <v>-0.7385156345630298</v>
      </c>
      <c r="X218" s="5">
        <f>$O$6*X158</f>
        <v>-0.9321664298930383</v>
      </c>
      <c r="Y218" s="5">
        <f>$O$6*Y158</f>
        <v>-0.7311705467379925</v>
      </c>
      <c r="Z218" s="5">
        <f>$O$6*Z158</f>
        <v>0.14384904353623792</v>
      </c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  <c r="DH218" s="108"/>
      <c r="DI218" s="108"/>
      <c r="DJ218" s="108"/>
      <c r="DK218" s="108"/>
      <c r="DL218" s="108"/>
      <c r="DM218" s="108"/>
      <c r="DN218" s="108"/>
      <c r="DO218" s="108"/>
      <c r="DP218" s="108"/>
      <c r="DQ218" s="108"/>
      <c r="DR218" s="108"/>
      <c r="DS218" s="108"/>
      <c r="DT218" s="108"/>
      <c r="DU218" s="108"/>
      <c r="DV218" s="108"/>
      <c r="DW218" s="108"/>
      <c r="DX218" s="108"/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/>
      <c r="EL218" s="108"/>
      <c r="EM218" s="108"/>
      <c r="EN218" s="108"/>
      <c r="EO218" s="108"/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/>
      <c r="FC218" s="108"/>
      <c r="FD218" s="108"/>
      <c r="FE218" s="108"/>
      <c r="FF218" s="108"/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108"/>
      <c r="FX218" s="108"/>
      <c r="FY218" s="108"/>
      <c r="FZ218" s="108"/>
      <c r="GA218" s="108"/>
      <c r="GB218" s="108"/>
      <c r="GC218" s="108"/>
      <c r="GD218" s="108"/>
      <c r="GE218" s="108"/>
      <c r="GF218" s="108"/>
      <c r="GG218" s="108"/>
      <c r="GH218" s="108"/>
      <c r="GI218" s="108"/>
      <c r="GJ218" s="108"/>
      <c r="GK218" s="108"/>
      <c r="GL218" s="108"/>
      <c r="GM218" s="108"/>
      <c r="GN218" s="108"/>
      <c r="GO218" s="108"/>
      <c r="GP218" s="108"/>
      <c r="GQ218" s="108"/>
      <c r="GR218" s="108"/>
      <c r="GS218" s="108"/>
      <c r="GT218" s="108"/>
      <c r="GU218" s="108"/>
      <c r="GV218" s="108"/>
      <c r="GW218" s="108"/>
      <c r="GX218" s="108"/>
      <c r="GY218" s="108"/>
      <c r="GZ218" s="108"/>
      <c r="HA218" s="108"/>
      <c r="HB218" s="108"/>
      <c r="HC218" s="108"/>
      <c r="HD218" s="108"/>
      <c r="HE218" s="108"/>
      <c r="HF218" s="108"/>
      <c r="HG218" s="108"/>
      <c r="HH218" s="108"/>
      <c r="HI218" s="108"/>
      <c r="HJ218" s="108"/>
      <c r="HK218" s="108"/>
      <c r="HL218" s="108"/>
      <c r="HM218" s="108"/>
      <c r="HN218" s="108"/>
      <c r="HO218" s="108"/>
      <c r="HP218" s="108"/>
      <c r="HQ218" s="108"/>
      <c r="HR218" s="108"/>
      <c r="HS218" s="108"/>
      <c r="HT218" s="108"/>
      <c r="HU218" s="108"/>
      <c r="HV218" s="108"/>
      <c r="HW218" s="108"/>
      <c r="HX218" s="108"/>
      <c r="HY218" s="108"/>
      <c r="HZ218" s="108"/>
      <c r="IA218" s="108"/>
      <c r="IB218" s="108"/>
      <c r="IC218" s="108"/>
      <c r="ID218" s="108"/>
      <c r="IE218" s="108"/>
      <c r="IF218" s="108"/>
      <c r="IG218" s="108"/>
      <c r="IH218" s="108"/>
      <c r="II218" s="108"/>
      <c r="IJ218" s="108"/>
      <c r="IK218" s="108"/>
      <c r="IL218" s="108"/>
      <c r="IM218" s="108"/>
      <c r="IN218" s="108"/>
      <c r="IO218" s="108"/>
      <c r="IP218" s="108"/>
      <c r="IQ218" s="108"/>
      <c r="IR218" s="108"/>
      <c r="IS218" s="108"/>
      <c r="IT218" s="108"/>
      <c r="IU218" s="108"/>
      <c r="IV218" s="108"/>
    </row>
    <row r="219" spans="1:256" ht="12.75">
      <c r="A219" t="s">
        <v>185</v>
      </c>
      <c r="B219" s="5">
        <f>$Q$6*B43</f>
        <v>0.25465317854532804</v>
      </c>
      <c r="C219" s="5">
        <f>$Q$6*C43</f>
        <v>0.7800575257140041</v>
      </c>
      <c r="D219" s="5">
        <f>$Q$6*D43</f>
        <v>0.899559432707984</v>
      </c>
      <c r="E219" s="5">
        <f>$Q$6*E43</f>
        <v>0.7426749613154956</v>
      </c>
      <c r="F219" s="5">
        <f>$Q$6*F43</f>
        <v>0.5271955736400941</v>
      </c>
      <c r="G219" s="5">
        <f>$Q$6*G43</f>
        <v>0.3445081458425136</v>
      </c>
      <c r="H219" s="5">
        <f>$Q$6*H43</f>
        <v>0.2076929889163559</v>
      </c>
      <c r="I219" s="5">
        <f>$Q$6*I43</f>
        <v>0.10749759801843276</v>
      </c>
      <c r="J219" s="5">
        <f>$Q$6*J43</f>
        <v>0.033088242292318666</v>
      </c>
      <c r="K219" s="5">
        <f>$Q$6*K43</f>
        <v>-0.023398089039717827</v>
      </c>
      <c r="L219" s="5">
        <f>$Q$6*L43</f>
        <v>-0.06694709881156385</v>
      </c>
      <c r="M219" s="5">
        <f>$Q$6*M43</f>
        <v>-0.10067530536403127</v>
      </c>
      <c r="N219" s="5">
        <f>$Q$6*N43</f>
        <v>-0.1268248454327102</v>
      </c>
      <c r="O219" s="5">
        <f>$Q$6*O43</f>
        <v>-0.1475454732157453</v>
      </c>
      <c r="P219" s="5">
        <f>$Q$6*P43</f>
        <v>-0.16542402097755662</v>
      </c>
      <c r="Q219" s="5">
        <f>$Q$6*Q43</f>
        <v>-0.18379922937809146</v>
      </c>
      <c r="R219" s="5">
        <f>$Q$6*R43</f>
        <v>-0.20697794853433066</v>
      </c>
      <c r="S219" s="5">
        <f>$Q$6*S43</f>
        <v>-0.24047545562926914</v>
      </c>
      <c r="T219" s="5">
        <f>$Q$6*T43</f>
        <v>-0.29118676995447834</v>
      </c>
      <c r="U219" s="5">
        <f>$Q$6*U43</f>
        <v>-0.36656262100065173</v>
      </c>
      <c r="V219" s="5">
        <f>$Q$6*V43</f>
        <v>-0.4692275644621956</v>
      </c>
      <c r="W219" s="5">
        <f>$Q$6*W43</f>
        <v>-0.5770224448698262</v>
      </c>
      <c r="X219" s="5">
        <f>$Q$6*X43</f>
        <v>-0.5954792333857327</v>
      </c>
      <c r="Y219" s="5">
        <f>$Q$6*Y43</f>
        <v>-0.3353815420971394</v>
      </c>
      <c r="Z219" s="5">
        <f>$Q$6*Z43</f>
        <v>0.25465317854532804</v>
      </c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  <c r="DQ219" s="108"/>
      <c r="DR219" s="108"/>
      <c r="DS219" s="108"/>
      <c r="DT219" s="108"/>
      <c r="DU219" s="108"/>
      <c r="DV219" s="108"/>
      <c r="DW219" s="108"/>
      <c r="DX219" s="108"/>
      <c r="DY219" s="108"/>
      <c r="DZ219" s="108"/>
      <c r="EA219" s="108"/>
      <c r="EB219" s="108"/>
      <c r="EC219" s="108"/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8"/>
      <c r="EO219" s="108"/>
      <c r="EP219" s="108"/>
      <c r="EQ219" s="108"/>
      <c r="ER219" s="108"/>
      <c r="ES219" s="108"/>
      <c r="ET219" s="108"/>
      <c r="EU219" s="108"/>
      <c r="EV219" s="108"/>
      <c r="EW219" s="108"/>
      <c r="EX219" s="108"/>
      <c r="EY219" s="108"/>
      <c r="EZ219" s="108"/>
      <c r="FA219" s="108"/>
      <c r="FB219" s="108"/>
      <c r="FC219" s="108"/>
      <c r="FD219" s="108"/>
      <c r="FE219" s="108"/>
      <c r="FF219" s="108"/>
      <c r="FG219" s="108"/>
      <c r="FH219" s="108"/>
      <c r="FI219" s="108"/>
      <c r="FJ219" s="108"/>
      <c r="FK219" s="108"/>
      <c r="FL219" s="108"/>
      <c r="FM219" s="108"/>
      <c r="FN219" s="108"/>
      <c r="FO219" s="108"/>
      <c r="FP219" s="108"/>
      <c r="FQ219" s="108"/>
      <c r="FR219" s="108"/>
      <c r="FS219" s="108"/>
      <c r="FT219" s="108"/>
      <c r="FU219" s="108"/>
      <c r="FV219" s="108"/>
      <c r="FW219" s="108"/>
      <c r="FX219" s="108"/>
      <c r="FY219" s="108"/>
      <c r="FZ219" s="108"/>
      <c r="GA219" s="108"/>
      <c r="GB219" s="108"/>
      <c r="GC219" s="108"/>
      <c r="GD219" s="108"/>
      <c r="GE219" s="108"/>
      <c r="GF219" s="108"/>
      <c r="GG219" s="108"/>
      <c r="GH219" s="108"/>
      <c r="GI219" s="108"/>
      <c r="GJ219" s="108"/>
      <c r="GK219" s="108"/>
      <c r="GL219" s="108"/>
      <c r="GM219" s="108"/>
      <c r="GN219" s="108"/>
      <c r="GO219" s="108"/>
      <c r="GP219" s="108"/>
      <c r="GQ219" s="108"/>
      <c r="GR219" s="108"/>
      <c r="GS219" s="108"/>
      <c r="GT219" s="108"/>
      <c r="GU219" s="108"/>
      <c r="GV219" s="108"/>
      <c r="GW219" s="108"/>
      <c r="GX219" s="108"/>
      <c r="GY219" s="108"/>
      <c r="GZ219" s="108"/>
      <c r="HA219" s="108"/>
      <c r="HB219" s="108"/>
      <c r="HC219" s="108"/>
      <c r="HD219" s="108"/>
      <c r="HE219" s="108"/>
      <c r="HF219" s="108"/>
      <c r="HG219" s="108"/>
      <c r="HH219" s="108"/>
      <c r="HI219" s="108"/>
      <c r="HJ219" s="108"/>
      <c r="HK219" s="108"/>
      <c r="HL219" s="108"/>
      <c r="HM219" s="108"/>
      <c r="HN219" s="108"/>
      <c r="HO219" s="108"/>
      <c r="HP219" s="108"/>
      <c r="HQ219" s="108"/>
      <c r="HR219" s="108"/>
      <c r="HS219" s="108"/>
      <c r="HT219" s="108"/>
      <c r="HU219" s="108"/>
      <c r="HV219" s="108"/>
      <c r="HW219" s="108"/>
      <c r="HX219" s="108"/>
      <c r="HY219" s="108"/>
      <c r="HZ219" s="108"/>
      <c r="IA219" s="108"/>
      <c r="IB219" s="108"/>
      <c r="IC219" s="108"/>
      <c r="ID219" s="108"/>
      <c r="IE219" s="108"/>
      <c r="IF219" s="108"/>
      <c r="IG219" s="108"/>
      <c r="IH219" s="108"/>
      <c r="II219" s="108"/>
      <c r="IJ219" s="108"/>
      <c r="IK219" s="108"/>
      <c r="IL219" s="108"/>
      <c r="IM219" s="108"/>
      <c r="IN219" s="108"/>
      <c r="IO219" s="108"/>
      <c r="IP219" s="108"/>
      <c r="IQ219" s="108"/>
      <c r="IR219" s="108"/>
      <c r="IS219" s="108"/>
      <c r="IT219" s="108"/>
      <c r="IU219" s="108"/>
      <c r="IV219" s="108"/>
    </row>
    <row r="220" spans="1:256" ht="12.75">
      <c r="A220" t="s">
        <v>204</v>
      </c>
      <c r="B220" s="5">
        <f>B217*B155+B218*B156+B219*B39</f>
        <v>-0.5331108933459805</v>
      </c>
      <c r="C220" s="5">
        <f>C217*C155+C218*C156+C219*C39</f>
        <v>-1.276059185805891</v>
      </c>
      <c r="D220" s="5">
        <f>D217*D155+D218*D156+D219*D39</f>
        <v>-0.8113293955519121</v>
      </c>
      <c r="E220" s="5">
        <f>E217*E155+E218*E156+E219*E39</f>
        <v>-0.14971329102963304</v>
      </c>
      <c r="F220" s="5">
        <f>F217*F155+F218*F156+F219*F39</f>
        <v>0.17470279192347032</v>
      </c>
      <c r="G220" s="5">
        <f>G217*G155+G218*G156+G219*G39</f>
        <v>0.23921815880980873</v>
      </c>
      <c r="H220" s="5">
        <f>H217*H155+H218*H156+H219*H39</f>
        <v>0.19178984885372047</v>
      </c>
      <c r="I220" s="5">
        <f>I217*I155+I218*I156+I219*I39</f>
        <v>0.1132716988590795</v>
      </c>
      <c r="J220" s="5">
        <f>J217*J155+J218*J156+J219*J39</f>
        <v>0.036770899282891525</v>
      </c>
      <c r="K220" s="5">
        <f>K217*K155+K218*K156+K219*K39</f>
        <v>-0.026072960570416616</v>
      </c>
      <c r="L220" s="5">
        <f>L217*L155+L218*L156+L219*L39</f>
        <v>-0.07200685257424513</v>
      </c>
      <c r="M220" s="5">
        <f>M217*M155+M218*M156+M219*M39</f>
        <v>-0.10113254783096626</v>
      </c>
      <c r="N220" s="5">
        <f>N217*N155+N218*N156+N219*N39</f>
        <v>-0.11521917561481118</v>
      </c>
      <c r="O220" s="5">
        <f>O217*O155+O218*O156+O219*O39</f>
        <v>-0.11698965324540828</v>
      </c>
      <c r="P220" s="5">
        <f>P217*P155+P218*P156+P219*P39</f>
        <v>-0.10939597714197007</v>
      </c>
      <c r="Q220" s="5">
        <f>Q217*Q155+Q218*Q156+Q219*Q39</f>
        <v>-0.09460860140516772</v>
      </c>
      <c r="R220" s="5">
        <f>R217*R155+R218*R156+R219*R39</f>
        <v>-0.07265985900023278</v>
      </c>
      <c r="S220" s="5">
        <f>S217*S155+S218*S156+S219*S39</f>
        <v>-0.0394339552952062</v>
      </c>
      <c r="T220" s="5">
        <f>T217*T155+T218*T156+T219*T39</f>
        <v>0.016871728467555542</v>
      </c>
      <c r="U220" s="5">
        <f>U217*U155+U218*U156+U219*U39</f>
        <v>0.12183417723135492</v>
      </c>
      <c r="V220" s="5">
        <f>V217*V155+V218*V156+V219*V39</f>
        <v>0.3199577483972806</v>
      </c>
      <c r="W220" s="5">
        <f>W217*W155+W218*W156+W219*W39</f>
        <v>0.6480651517012364</v>
      </c>
      <c r="X220" s="5">
        <f>X217*X155+X218*X156+X219*X39</f>
        <v>0.969360981604514</v>
      </c>
      <c r="Y220" s="5">
        <f>Y217*Y155+Y218*Y156+Y219*Y39</f>
        <v>0.6858888076758973</v>
      </c>
      <c r="Z220" s="5">
        <f>Z217*Z155+Z218*Z156+Z219*Z39</f>
        <v>-0.5331108933459806</v>
      </c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  <c r="DP220" s="108"/>
      <c r="DQ220" s="108"/>
      <c r="DR220" s="108"/>
      <c r="DS220" s="108"/>
      <c r="DT220" s="108"/>
      <c r="DU220" s="108"/>
      <c r="DV220" s="108"/>
      <c r="DW220" s="108"/>
      <c r="DX220" s="108"/>
      <c r="DY220" s="108"/>
      <c r="DZ220" s="108"/>
      <c r="EA220" s="108"/>
      <c r="EB220" s="108"/>
      <c r="EC220" s="108"/>
      <c r="ED220" s="108"/>
      <c r="EE220" s="108"/>
      <c r="EF220" s="108"/>
      <c r="EG220" s="108"/>
      <c r="EH220" s="108"/>
      <c r="EI220" s="108"/>
      <c r="EJ220" s="108"/>
      <c r="EK220" s="108"/>
      <c r="EL220" s="108"/>
      <c r="EM220" s="108"/>
      <c r="EN220" s="108"/>
      <c r="EO220" s="108"/>
      <c r="EP220" s="108"/>
      <c r="EQ220" s="108"/>
      <c r="ER220" s="108"/>
      <c r="ES220" s="108"/>
      <c r="ET220" s="108"/>
      <c r="EU220" s="108"/>
      <c r="EV220" s="108"/>
      <c r="EW220" s="108"/>
      <c r="EX220" s="108"/>
      <c r="EY220" s="108"/>
      <c r="EZ220" s="108"/>
      <c r="FA220" s="108"/>
      <c r="FB220" s="108"/>
      <c r="FC220" s="108"/>
      <c r="FD220" s="108"/>
      <c r="FE220" s="108"/>
      <c r="FF220" s="108"/>
      <c r="FG220" s="108"/>
      <c r="FH220" s="108"/>
      <c r="FI220" s="108"/>
      <c r="FJ220" s="108"/>
      <c r="FK220" s="108"/>
      <c r="FL220" s="108"/>
      <c r="FM220" s="108"/>
      <c r="FN220" s="108"/>
      <c r="FO220" s="108"/>
      <c r="FP220" s="108"/>
      <c r="FQ220" s="108"/>
      <c r="FR220" s="108"/>
      <c r="FS220" s="108"/>
      <c r="FT220" s="108"/>
      <c r="FU220" s="108"/>
      <c r="FV220" s="108"/>
      <c r="FW220" s="108"/>
      <c r="FX220" s="108"/>
      <c r="FY220" s="108"/>
      <c r="FZ220" s="108"/>
      <c r="GA220" s="108"/>
      <c r="GB220" s="108"/>
      <c r="GC220" s="108"/>
      <c r="GD220" s="108"/>
      <c r="GE220" s="108"/>
      <c r="GF220" s="108"/>
      <c r="GG220" s="108"/>
      <c r="GH220" s="108"/>
      <c r="GI220" s="108"/>
      <c r="GJ220" s="108"/>
      <c r="GK220" s="108"/>
      <c r="GL220" s="108"/>
      <c r="GM220" s="108"/>
      <c r="GN220" s="108"/>
      <c r="GO220" s="108"/>
      <c r="GP220" s="108"/>
      <c r="GQ220" s="108"/>
      <c r="GR220" s="108"/>
      <c r="GS220" s="108"/>
      <c r="GT220" s="108"/>
      <c r="GU220" s="108"/>
      <c r="GV220" s="108"/>
      <c r="GW220" s="108"/>
      <c r="GX220" s="108"/>
      <c r="GY220" s="108"/>
      <c r="GZ220" s="108"/>
      <c r="HA220" s="108"/>
      <c r="HB220" s="108"/>
      <c r="HC220" s="108"/>
      <c r="HD220" s="108"/>
      <c r="HE220" s="108"/>
      <c r="HF220" s="108"/>
      <c r="HG220" s="108"/>
      <c r="HH220" s="108"/>
      <c r="HI220" s="108"/>
      <c r="HJ220" s="108"/>
      <c r="HK220" s="108"/>
      <c r="HL220" s="108"/>
      <c r="HM220" s="108"/>
      <c r="HN220" s="108"/>
      <c r="HO220" s="108"/>
      <c r="HP220" s="108"/>
      <c r="HQ220" s="108"/>
      <c r="HR220" s="108"/>
      <c r="HS220" s="108"/>
      <c r="HT220" s="108"/>
      <c r="HU220" s="108"/>
      <c r="HV220" s="108"/>
      <c r="HW220" s="108"/>
      <c r="HX220" s="108"/>
      <c r="HY220" s="108"/>
      <c r="HZ220" s="108"/>
      <c r="IA220" s="108"/>
      <c r="IB220" s="108"/>
      <c r="IC220" s="108"/>
      <c r="ID220" s="108"/>
      <c r="IE220" s="108"/>
      <c r="IF220" s="108"/>
      <c r="IG220" s="108"/>
      <c r="IH220" s="108"/>
      <c r="II220" s="108"/>
      <c r="IJ220" s="108"/>
      <c r="IK220" s="108"/>
      <c r="IL220" s="108"/>
      <c r="IM220" s="108"/>
      <c r="IN220" s="108"/>
      <c r="IO220" s="108"/>
      <c r="IP220" s="108"/>
      <c r="IQ220" s="108"/>
      <c r="IR220" s="108"/>
      <c r="IS220" s="108"/>
      <c r="IT220" s="108"/>
      <c r="IU220" s="108"/>
      <c r="IV220" s="108"/>
    </row>
    <row r="221" spans="1:256" ht="12.75">
      <c r="A221" t="s">
        <v>205</v>
      </c>
      <c r="B221" s="5">
        <f>B156*$O$6*$S$5</f>
        <v>-9.130434782608699</v>
      </c>
      <c r="C221" s="5">
        <f>C156*$O$6*$S$5</f>
        <v>-7.442562057103583</v>
      </c>
      <c r="D221" s="5">
        <f>D156*$O$6*$S$5</f>
        <v>-4.162299651206348</v>
      </c>
      <c r="E221" s="5">
        <f>E156*$O$6*$S$5</f>
        <v>-0.9328477451827505</v>
      </c>
      <c r="F221" s="5">
        <f>F156*$O$6*$S$5</f>
        <v>1.533046758593624</v>
      </c>
      <c r="G221" s="5">
        <f>G156*$O$6*$S$5</f>
        <v>3.203025121133921</v>
      </c>
      <c r="H221" s="5">
        <f>H156*$O$6*$S$5</f>
        <v>4.224742500118378</v>
      </c>
      <c r="I221" s="5">
        <f>I156*$O$6*$S$5</f>
        <v>4.7434882730784516</v>
      </c>
      <c r="J221" s="5">
        <f>J156*$O$6*$S$5</f>
        <v>4.875976006666798</v>
      </c>
      <c r="K221" s="5">
        <f>K156*$O$6*$S$5</f>
        <v>4.718764243310955</v>
      </c>
      <c r="L221" s="5">
        <f>L156*$O$6*$S$5</f>
        <v>4.356106287108355</v>
      </c>
      <c r="M221" s="5">
        <f>M156*$O$6*$S$5</f>
        <v>3.8621158330302787</v>
      </c>
      <c r="N221" s="5">
        <f>N156*$O$6*$S$5</f>
        <v>3.299017679123576</v>
      </c>
      <c r="O221" s="5">
        <f>O156*$O$6*$S$5</f>
        <v>2.714080632719254</v>
      </c>
      <c r="P221" s="5">
        <f>P156*$O$6*$S$5</f>
        <v>2.137157952371709</v>
      </c>
      <c r="Q221" s="5">
        <f>Q156*$O$6*$S$5</f>
        <v>1.5795373697399049</v>
      </c>
      <c r="R221" s="5">
        <f>R156*$O$6*$S$5</f>
        <v>1.033423891714062</v>
      </c>
      <c r="S221" s="5">
        <f>S156*$O$6*$S$5</f>
        <v>0.47020137575022153</v>
      </c>
      <c r="T221" s="5">
        <f>T156*$O$6*$S$5</f>
        <v>-0.16516541475950475</v>
      </c>
      <c r="U221" s="5">
        <f>U156*$O$6*$S$5</f>
        <v>-0.9661133720782177</v>
      </c>
      <c r="V221" s="5">
        <f>V156*$O$6*$S$5</f>
        <v>-2.0806172448495523</v>
      </c>
      <c r="W221" s="5">
        <f>W156*$O$6*$S$5</f>
        <v>-3.7031475827551823</v>
      </c>
      <c r="X221" s="5">
        <f>X156*$O$6*$S$5</f>
        <v>-5.9257233791444675</v>
      </c>
      <c r="Y221" s="5">
        <f>Y156*$O$6*$S$5</f>
        <v>-8.241772883453283</v>
      </c>
      <c r="Z221" s="5">
        <f>Z156*$O$6*$S$5</f>
        <v>-9.130434782608702</v>
      </c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108"/>
      <c r="DP221" s="108"/>
      <c r="DQ221" s="108"/>
      <c r="DR221" s="108"/>
      <c r="DS221" s="108"/>
      <c r="DT221" s="108"/>
      <c r="DU221" s="108"/>
      <c r="DV221" s="108"/>
      <c r="DW221" s="108"/>
      <c r="DX221" s="108"/>
      <c r="DY221" s="108"/>
      <c r="DZ221" s="108"/>
      <c r="EA221" s="108"/>
      <c r="EB221" s="108"/>
      <c r="EC221" s="108"/>
      <c r="ED221" s="108"/>
      <c r="EE221" s="108"/>
      <c r="EF221" s="108"/>
      <c r="EG221" s="108"/>
      <c r="EH221" s="108"/>
      <c r="EI221" s="108"/>
      <c r="EJ221" s="108"/>
      <c r="EK221" s="108"/>
      <c r="EL221" s="108"/>
      <c r="EM221" s="108"/>
      <c r="EN221" s="108"/>
      <c r="EO221" s="108"/>
      <c r="EP221" s="108"/>
      <c r="EQ221" s="108"/>
      <c r="ER221" s="108"/>
      <c r="ES221" s="108"/>
      <c r="ET221" s="108"/>
      <c r="EU221" s="108"/>
      <c r="EV221" s="108"/>
      <c r="EW221" s="108"/>
      <c r="EX221" s="108"/>
      <c r="EY221" s="108"/>
      <c r="EZ221" s="108"/>
      <c r="FA221" s="108"/>
      <c r="FB221" s="108"/>
      <c r="FC221" s="108"/>
      <c r="FD221" s="108"/>
      <c r="FE221" s="108"/>
      <c r="FF221" s="108"/>
      <c r="FG221" s="108"/>
      <c r="FH221" s="108"/>
      <c r="FI221" s="108"/>
      <c r="FJ221" s="108"/>
      <c r="FK221" s="108"/>
      <c r="FL221" s="108"/>
      <c r="FM221" s="108"/>
      <c r="FN221" s="108"/>
      <c r="FO221" s="108"/>
      <c r="FP221" s="108"/>
      <c r="FQ221" s="108"/>
      <c r="FR221" s="108"/>
      <c r="FS221" s="108"/>
      <c r="FT221" s="108"/>
      <c r="FU221" s="108"/>
      <c r="FV221" s="108"/>
      <c r="FW221" s="108"/>
      <c r="FX221" s="108"/>
      <c r="FY221" s="108"/>
      <c r="FZ221" s="108"/>
      <c r="GA221" s="108"/>
      <c r="GB221" s="108"/>
      <c r="GC221" s="108"/>
      <c r="GD221" s="108"/>
      <c r="GE221" s="108"/>
      <c r="GF221" s="108"/>
      <c r="GG221" s="108"/>
      <c r="GH221" s="108"/>
      <c r="GI221" s="108"/>
      <c r="GJ221" s="108"/>
      <c r="GK221" s="108"/>
      <c r="GL221" s="108"/>
      <c r="GM221" s="108"/>
      <c r="GN221" s="108"/>
      <c r="GO221" s="108"/>
      <c r="GP221" s="108"/>
      <c r="GQ221" s="108"/>
      <c r="GR221" s="108"/>
      <c r="GS221" s="108"/>
      <c r="GT221" s="108"/>
      <c r="GU221" s="108"/>
      <c r="GV221" s="108"/>
      <c r="GW221" s="108"/>
      <c r="GX221" s="108"/>
      <c r="GY221" s="108"/>
      <c r="GZ221" s="108"/>
      <c r="HA221" s="108"/>
      <c r="HB221" s="108"/>
      <c r="HC221" s="108"/>
      <c r="HD221" s="108"/>
      <c r="HE221" s="108"/>
      <c r="HF221" s="108"/>
      <c r="HG221" s="108"/>
      <c r="HH221" s="108"/>
      <c r="HI221" s="108"/>
      <c r="HJ221" s="108"/>
      <c r="HK221" s="108"/>
      <c r="HL221" s="108"/>
      <c r="HM221" s="108"/>
      <c r="HN221" s="108"/>
      <c r="HO221" s="108"/>
      <c r="HP221" s="108"/>
      <c r="HQ221" s="108"/>
      <c r="HR221" s="108"/>
      <c r="HS221" s="108"/>
      <c r="HT221" s="108"/>
      <c r="HU221" s="108"/>
      <c r="HV221" s="108"/>
      <c r="HW221" s="108"/>
      <c r="HX221" s="108"/>
      <c r="HY221" s="108"/>
      <c r="HZ221" s="108"/>
      <c r="IA221" s="108"/>
      <c r="IB221" s="108"/>
      <c r="IC221" s="108"/>
      <c r="ID221" s="108"/>
      <c r="IE221" s="108"/>
      <c r="IF221" s="108"/>
      <c r="IG221" s="108"/>
      <c r="IH221" s="108"/>
      <c r="II221" s="108"/>
      <c r="IJ221" s="108"/>
      <c r="IK221" s="108"/>
      <c r="IL221" s="108"/>
      <c r="IM221" s="108"/>
      <c r="IN221" s="108"/>
      <c r="IO221" s="108"/>
      <c r="IP221" s="108"/>
      <c r="IQ221" s="108"/>
      <c r="IR221" s="108"/>
      <c r="IS221" s="108"/>
      <c r="IT221" s="108"/>
      <c r="IU221" s="108"/>
      <c r="IV221" s="108"/>
    </row>
    <row r="223" spans="1:26" s="121" customFormat="1" ht="12.75">
      <c r="A223" s="39"/>
      <c r="B223" s="39"/>
      <c r="C223" s="78" t="s">
        <v>147</v>
      </c>
      <c r="D223" s="78"/>
      <c r="E223" s="78"/>
      <c r="F223" s="78"/>
      <c r="G223" s="78"/>
      <c r="H223" s="78"/>
      <c r="I223" s="78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56" ht="12.75">
      <c r="A224" t="s">
        <v>186</v>
      </c>
      <c r="B224" s="5">
        <f>0.5*$O$7*(B162^2+B163^2)+0.5*$Q$7*B77^2</f>
        <v>2.700732966756364</v>
      </c>
      <c r="C224" s="5">
        <f>0.5*$O$7*(C162^2+C163^2)+0.5*$Q$7*C77^2</f>
        <v>1.6107679286933703</v>
      </c>
      <c r="D224" s="5">
        <f>0.5*$O$7*(D162^2+D163^2)+0.5*$Q$7*D77^2</f>
        <v>0.4845880317064037</v>
      </c>
      <c r="E224" s="5">
        <f>0.5*$O$7*(E162^2+E163^2)+0.5*$Q$7*E77^2</f>
        <v>0.024125746432942147</v>
      </c>
      <c r="F224" s="5">
        <f>0.5*$O$7*(F162^2+F163^2)+0.5*$Q$7*F77^2</f>
        <v>0.06522583124748474</v>
      </c>
      <c r="G224" s="5">
        <f>0.5*$O$7*(G162^2+G163^2)+0.5*$Q$7*G77^2</f>
        <v>0.2873567265428787</v>
      </c>
      <c r="H224" s="5">
        <f>0.5*$O$7*(H162^2+H163^2)+0.5*$Q$7*H77^2</f>
        <v>0.511438969603618</v>
      </c>
      <c r="I224" s="5">
        <f>0.5*$O$7*(I162^2+I163^2)+0.5*$Q$7*I77^2</f>
        <v>0.6725336545750019</v>
      </c>
      <c r="J224" s="5">
        <f>0.5*$O$7*(J162^2+J163^2)+0.5*$Q$7*J77^2</f>
        <v>0.7586202035100701</v>
      </c>
      <c r="K224" s="5">
        <f>0.5*$O$7*(K162^2+K163^2)+0.5*$Q$7*K77^2</f>
        <v>0.7770358844795183</v>
      </c>
      <c r="L224" s="5">
        <f>0.5*$O$7*(L162^2+L163^2)+0.5*$Q$7*L77^2</f>
        <v>0.7406448352198884</v>
      </c>
      <c r="M224" s="5">
        <f>0.5*$O$7*(M162^2+M163^2)+0.5*$Q$7*M77^2</f>
        <v>0.6631006101594367</v>
      </c>
      <c r="N224" s="5">
        <f>0.5*$O$7*(N162^2+N163^2)+0.5*$Q$7*N77^2</f>
        <v>0.5575942530035071</v>
      </c>
      <c r="O224" s="5">
        <f>0.5*$O$7*(O162^2+O163^2)+0.5*$Q$7*O77^2</f>
        <v>0.4365592922132004</v>
      </c>
      <c r="P224" s="5">
        <f>0.5*$O$7*(P162^2+P163^2)+0.5*$Q$7*P77^2</f>
        <v>0.3114582310208181</v>
      </c>
      <c r="Q224" s="5">
        <f>0.5*$O$7*(Q162^2+Q163^2)+0.5*$Q$7*Q77^2</f>
        <v>0.19280500252758653</v>
      </c>
      <c r="R224" s="5">
        <f>0.5*$O$7*(R162^2+R163^2)+0.5*$Q$7*R77^2</f>
        <v>0.09115722656398938</v>
      </c>
      <c r="S224" s="5">
        <f>0.5*$O$7*(S162^2+S163^2)+0.5*$Q$7*S77^2</f>
        <v>0.020089460211055177</v>
      </c>
      <c r="T224" s="5">
        <f>0.5*$O$7*(T162^2+T163^2)+0.5*$Q$7*T77^2</f>
        <v>0.002513569893988789</v>
      </c>
      <c r="U224" s="5">
        <f>0.5*$O$7*(U162^2+U163^2)+0.5*$Q$7*U77^2</f>
        <v>0.08210874183923912</v>
      </c>
      <c r="V224" s="5">
        <f>0.5*$O$7*(V162^2+V163^2)+0.5*$Q$7*V77^2</f>
        <v>0.33911931971446735</v>
      </c>
      <c r="W224" s="5">
        <f>0.5*$O$7*(W162^2+W163^2)+0.5*$Q$7*W77^2</f>
        <v>0.8905983970989695</v>
      </c>
      <c r="X224" s="5">
        <f>0.5*$O$7*(X162^2+X163^2)+0.5*$Q$7*X77^2</f>
        <v>1.788180106227438</v>
      </c>
      <c r="Y224" s="5">
        <f>0.5*$O$7*(Y162^2+Y163^2)+0.5*$Q$7*Y77^2</f>
        <v>2.684378228595223</v>
      </c>
      <c r="Z224" s="5">
        <f>0.5*$O$7*(Z162^2+Z163^2)+0.5*$Q$7*Z77^2</f>
        <v>2.7007329667563664</v>
      </c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  <c r="II224" s="108"/>
      <c r="IJ224" s="108"/>
      <c r="IK224" s="108"/>
      <c r="IL224" s="108"/>
      <c r="IM224" s="108"/>
      <c r="IN224" s="108"/>
      <c r="IO224" s="108"/>
      <c r="IP224" s="108"/>
      <c r="IQ224" s="108"/>
      <c r="IR224" s="108"/>
      <c r="IS224" s="108"/>
      <c r="IT224" s="108"/>
      <c r="IU224" s="108"/>
      <c r="IV224" s="108"/>
    </row>
    <row r="225" spans="1:256" ht="12.75">
      <c r="A225" t="s">
        <v>187</v>
      </c>
      <c r="B225" s="5">
        <f>$O$7*B164</f>
        <v>-0.4588372158225018</v>
      </c>
      <c r="C225" s="5">
        <f>$O$7*C164</f>
        <v>-2.6200571775085484</v>
      </c>
      <c r="D225" s="5">
        <f>$O$7*D164</f>
        <v>-3.116498009053992</v>
      </c>
      <c r="E225" s="5">
        <f>$O$7*E164</f>
        <v>-2.5509834418021358</v>
      </c>
      <c r="F225" s="5">
        <f>$O$7*F164</f>
        <v>-1.8150595417630033</v>
      </c>
      <c r="G225" s="5">
        <f>$O$7*G164</f>
        <v>-1.1962289755455773</v>
      </c>
      <c r="H225" s="5">
        <f>$O$7*H164</f>
        <v>-0.7071037057851024</v>
      </c>
      <c r="I225" s="5">
        <f>$O$7*I164</f>
        <v>-0.31752570473580094</v>
      </c>
      <c r="J225" s="5">
        <f>$O$7*J164</f>
        <v>-0.009005074248201298</v>
      </c>
      <c r="K225" s="5">
        <f>$O$7*K164</f>
        <v>0.22550008384423326</v>
      </c>
      <c r="L225" s="5">
        <f>$O$7*L164</f>
        <v>0.3896023368673762</v>
      </c>
      <c r="M225" s="5">
        <f>$O$7*M164</f>
        <v>0.4892500245489924</v>
      </c>
      <c r="N225" s="5">
        <f>$O$7*N164</f>
        <v>0.5351037545252786</v>
      </c>
      <c r="O225" s="5">
        <f>$O$7*O164</f>
        <v>0.5421701871118293</v>
      </c>
      <c r="P225" s="5">
        <f>$O$7*P164</f>
        <v>0.5279713600744153</v>
      </c>
      <c r="Q225" s="5">
        <f>$O$7*Q164</f>
        <v>0.5108155015486662</v>
      </c>
      <c r="R225" s="5">
        <f>$O$7*R164</f>
        <v>0.5095626366756048</v>
      </c>
      <c r="S225" s="5">
        <f>$O$7*S164</f>
        <v>0.5458118296991045</v>
      </c>
      <c r="T225" s="5">
        <f>$O$7*T164</f>
        <v>0.6489055945039489</v>
      </c>
      <c r="U225" s="5">
        <f>$O$7*U164</f>
        <v>0.862485493608819</v>
      </c>
      <c r="V225" s="5">
        <f>$O$7*V164</f>
        <v>1.2422486126818268</v>
      </c>
      <c r="W225" s="5">
        <f>$O$7*W164</f>
        <v>1.797505503305513</v>
      </c>
      <c r="X225" s="5">
        <f>$O$7*X164</f>
        <v>2.253104204037444</v>
      </c>
      <c r="Y225" s="5">
        <f>$O$7*Y164</f>
        <v>1.7112616899188904</v>
      </c>
      <c r="Z225" s="5">
        <f>$O$7*Z164</f>
        <v>-0.45883721582250164</v>
      </c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/>
      <c r="FC225" s="108"/>
      <c r="FD225" s="108"/>
      <c r="FE225" s="108"/>
      <c r="FF225" s="108"/>
      <c r="FG225" s="108"/>
      <c r="FH225" s="108"/>
      <c r="FI225" s="108"/>
      <c r="FJ225" s="108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GJ225" s="108"/>
      <c r="GK225" s="108"/>
      <c r="GL225" s="108"/>
      <c r="GM225" s="108"/>
      <c r="GN225" s="108"/>
      <c r="GO225" s="108"/>
      <c r="GP225" s="108"/>
      <c r="GQ225" s="108"/>
      <c r="GR225" s="108"/>
      <c r="GS225" s="108"/>
      <c r="GT225" s="108"/>
      <c r="GU225" s="108"/>
      <c r="GV225" s="108"/>
      <c r="GW225" s="108"/>
      <c r="GX225" s="108"/>
      <c r="GY225" s="108"/>
      <c r="GZ225" s="108"/>
      <c r="HA225" s="108"/>
      <c r="HB225" s="108"/>
      <c r="HC225" s="108"/>
      <c r="HD225" s="108"/>
      <c r="HE225" s="108"/>
      <c r="HF225" s="108"/>
      <c r="HG225" s="108"/>
      <c r="HH225" s="108"/>
      <c r="HI225" s="108"/>
      <c r="HJ225" s="108"/>
      <c r="HK225" s="108"/>
      <c r="HL225" s="108"/>
      <c r="HM225" s="108"/>
      <c r="HN225" s="108"/>
      <c r="HO225" s="108"/>
      <c r="HP225" s="108"/>
      <c r="HQ225" s="108"/>
      <c r="HR225" s="108"/>
      <c r="HS225" s="108"/>
      <c r="HT225" s="108"/>
      <c r="HU225" s="108"/>
      <c r="HV225" s="108"/>
      <c r="HW225" s="108"/>
      <c r="HX225" s="108"/>
      <c r="HY225" s="108"/>
      <c r="HZ225" s="108"/>
      <c r="IA225" s="108"/>
      <c r="IB225" s="108"/>
      <c r="IC225" s="108"/>
      <c r="ID225" s="108"/>
      <c r="IE225" s="108"/>
      <c r="IF225" s="108"/>
      <c r="IG225" s="108"/>
      <c r="IH225" s="108"/>
      <c r="II225" s="108"/>
      <c r="IJ225" s="108"/>
      <c r="IK225" s="108"/>
      <c r="IL225" s="108"/>
      <c r="IM225" s="108"/>
      <c r="IN225" s="108"/>
      <c r="IO225" s="108"/>
      <c r="IP225" s="108"/>
      <c r="IQ225" s="108"/>
      <c r="IR225" s="108"/>
      <c r="IS225" s="108"/>
      <c r="IT225" s="108"/>
      <c r="IU225" s="108"/>
      <c r="IV225" s="108"/>
    </row>
    <row r="226" spans="1:256" ht="12.75">
      <c r="A226" t="s">
        <v>188</v>
      </c>
      <c r="B226" s="5">
        <f>$O$7*B165</f>
        <v>-2.046569344233932</v>
      </c>
      <c r="C226" s="5">
        <f>$O$7*C165</f>
        <v>-1.4455421272262499</v>
      </c>
      <c r="D226" s="5">
        <f>$O$7*D165</f>
        <v>-0.3562178552091402</v>
      </c>
      <c r="E226" s="5">
        <f>$O$7*E165</f>
        <v>0.09240006331883655</v>
      </c>
      <c r="F226" s="5">
        <f>$O$7*F165</f>
        <v>0.01938588178707813</v>
      </c>
      <c r="G226" s="5">
        <f>$O$7*G165</f>
        <v>-0.21232418765249464</v>
      </c>
      <c r="H226" s="5">
        <f>$O$7*H165</f>
        <v>-0.41305335867089066</v>
      </c>
      <c r="I226" s="5">
        <f>$O$7*I165</f>
        <v>-0.5215816031807076</v>
      </c>
      <c r="J226" s="5">
        <f>$O$7*J165</f>
        <v>-0.532223497830457</v>
      </c>
      <c r="K226" s="5">
        <f>$O$7*K165</f>
        <v>-0.46064950229603946</v>
      </c>
      <c r="L226" s="5">
        <f>$O$7*L165</f>
        <v>-0.33054090947783354</v>
      </c>
      <c r="M226" s="5">
        <f>$O$7*M165</f>
        <v>-0.16728181856861363</v>
      </c>
      <c r="N226" s="5">
        <f>$O$7*N165</f>
        <v>0.006535706781870083</v>
      </c>
      <c r="O226" s="5">
        <f>$O$7*O165</f>
        <v>0.1747600656519734</v>
      </c>
      <c r="P226" s="5">
        <f>$O$7*P165</f>
        <v>0.3299212836080406</v>
      </c>
      <c r="Q226" s="5">
        <f>$O$7*Q165</f>
        <v>0.4735398318759219</v>
      </c>
      <c r="R226" s="5">
        <f>$O$7*R165</f>
        <v>0.6146232822572991</v>
      </c>
      <c r="S226" s="5">
        <f>$O$7*S165</f>
        <v>0.7665975403097187</v>
      </c>
      <c r="T226" s="5">
        <f>$O$7*T165</f>
        <v>0.9413680678595956</v>
      </c>
      <c r="U226" s="5">
        <f>$O$7*U165</f>
        <v>1.1344325954292103</v>
      </c>
      <c r="V226" s="5">
        <f>$O$7*V165</f>
        <v>1.2851792645409605</v>
      </c>
      <c r="W226" s="5">
        <f>$O$7*W165</f>
        <v>1.1928067102150846</v>
      </c>
      <c r="X226" s="5">
        <f>$O$7*X165</f>
        <v>0.4669203724025369</v>
      </c>
      <c r="Y226" s="5">
        <f>$O$7*Y165</f>
        <v>-1.0124876611081715</v>
      </c>
      <c r="Z226" s="5">
        <f>$O$7*Z165</f>
        <v>-2.046569344233933</v>
      </c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108"/>
      <c r="ED226" s="108"/>
      <c r="EE226" s="108"/>
      <c r="EF226" s="108"/>
      <c r="EG226" s="108"/>
      <c r="EH226" s="108"/>
      <c r="EI226" s="108"/>
      <c r="EJ226" s="108"/>
      <c r="EK226" s="108"/>
      <c r="EL226" s="108"/>
      <c r="EM226" s="108"/>
      <c r="EN226" s="108"/>
      <c r="EO226" s="108"/>
      <c r="EP226" s="108"/>
      <c r="EQ226" s="108"/>
      <c r="ER226" s="108"/>
      <c r="ES226" s="108"/>
      <c r="ET226" s="108"/>
      <c r="EU226" s="108"/>
      <c r="EV226" s="108"/>
      <c r="EW226" s="108"/>
      <c r="EX226" s="108"/>
      <c r="EY226" s="108"/>
      <c r="EZ226" s="108"/>
      <c r="FA226" s="108"/>
      <c r="FB226" s="108"/>
      <c r="FC226" s="108"/>
      <c r="FD226" s="108"/>
      <c r="FE226" s="108"/>
      <c r="FF226" s="108"/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/>
      <c r="FS226" s="108"/>
      <c r="FT226" s="108"/>
      <c r="FU226" s="108"/>
      <c r="FV226" s="108"/>
      <c r="FW226" s="108"/>
      <c r="FX226" s="108"/>
      <c r="FY226" s="108"/>
      <c r="FZ226" s="108"/>
      <c r="GA226" s="108"/>
      <c r="GB226" s="108"/>
      <c r="GC226" s="108"/>
      <c r="GD226" s="108"/>
      <c r="GE226" s="108"/>
      <c r="GF226" s="108"/>
      <c r="GG226" s="108"/>
      <c r="GH226" s="108"/>
      <c r="GI226" s="108"/>
      <c r="GJ226" s="108"/>
      <c r="GK226" s="108"/>
      <c r="GL226" s="108"/>
      <c r="GM226" s="108"/>
      <c r="GN226" s="108"/>
      <c r="GO226" s="108"/>
      <c r="GP226" s="108"/>
      <c r="GQ226" s="108"/>
      <c r="GR226" s="108"/>
      <c r="GS226" s="108"/>
      <c r="GT226" s="108"/>
      <c r="GU226" s="108"/>
      <c r="GV226" s="108"/>
      <c r="GW226" s="108"/>
      <c r="GX226" s="108"/>
      <c r="GY226" s="108"/>
      <c r="GZ226" s="108"/>
      <c r="HA226" s="108"/>
      <c r="HB226" s="108"/>
      <c r="HC226" s="108"/>
      <c r="HD226" s="108"/>
      <c r="HE226" s="108"/>
      <c r="HF226" s="108"/>
      <c r="HG226" s="108"/>
      <c r="HH226" s="108"/>
      <c r="HI226" s="108"/>
      <c r="HJ226" s="108"/>
      <c r="HK226" s="108"/>
      <c r="HL226" s="108"/>
      <c r="HM226" s="108"/>
      <c r="HN226" s="108"/>
      <c r="HO226" s="108"/>
      <c r="HP226" s="108"/>
      <c r="HQ226" s="108"/>
      <c r="HR226" s="108"/>
      <c r="HS226" s="108"/>
      <c r="HT226" s="108"/>
      <c r="HU226" s="108"/>
      <c r="HV226" s="108"/>
      <c r="HW226" s="108"/>
      <c r="HX226" s="108"/>
      <c r="HY226" s="108"/>
      <c r="HZ226" s="108"/>
      <c r="IA226" s="108"/>
      <c r="IB226" s="108"/>
      <c r="IC226" s="108"/>
      <c r="ID226" s="108"/>
      <c r="IE226" s="108"/>
      <c r="IF226" s="108"/>
      <c r="IG226" s="108"/>
      <c r="IH226" s="108"/>
      <c r="II226" s="108"/>
      <c r="IJ226" s="108"/>
      <c r="IK226" s="108"/>
      <c r="IL226" s="108"/>
      <c r="IM226" s="108"/>
      <c r="IN226" s="108"/>
      <c r="IO226" s="108"/>
      <c r="IP226" s="108"/>
      <c r="IQ226" s="108"/>
      <c r="IR226" s="108"/>
      <c r="IS226" s="108"/>
      <c r="IT226" s="108"/>
      <c r="IU226" s="108"/>
      <c r="IV226" s="108"/>
    </row>
    <row r="227" spans="1:256" ht="12.75">
      <c r="A227" t="s">
        <v>189</v>
      </c>
      <c r="B227" s="5">
        <f>$Q$7*B78</f>
        <v>-0.1493343050248371</v>
      </c>
      <c r="C227" s="5">
        <f>$Q$7*C78</f>
        <v>0.29557679447749385</v>
      </c>
      <c r="D227" s="5">
        <f>$Q$7*D78</f>
        <v>0.5246065147462912</v>
      </c>
      <c r="E227" s="5">
        <f>$Q$7*E78</f>
        <v>0.48486873295260075</v>
      </c>
      <c r="F227" s="5">
        <f>$Q$7*F78</f>
        <v>0.3380458077137636</v>
      </c>
      <c r="G227" s="5">
        <f>$Q$7*G78</f>
        <v>0.19069246588721278</v>
      </c>
      <c r="H227" s="5">
        <f>$Q$7*H78</f>
        <v>0.0754481004136423</v>
      </c>
      <c r="I227" s="5">
        <f>$Q$7*I78</f>
        <v>-0.006031445682850872</v>
      </c>
      <c r="J227" s="5">
        <f>$Q$7*J78</f>
        <v>-0.05941697315507307</v>
      </c>
      <c r="K227" s="5">
        <f>$Q$7*K78</f>
        <v>-0.09035470825277185</v>
      </c>
      <c r="L227" s="5">
        <f>$Q$7*L78</f>
        <v>-0.10344578411753523</v>
      </c>
      <c r="M227" s="5">
        <f>$Q$7*M78</f>
        <v>-0.10279889577555383</v>
      </c>
      <c r="N227" s="5">
        <f>$Q$7*N78</f>
        <v>-0.09248041845279907</v>
      </c>
      <c r="O227" s="5">
        <f>$Q$7*O78</f>
        <v>-0.07647831440206349</v>
      </c>
      <c r="P227" s="5">
        <f>$Q$7*P78</f>
        <v>-0.05836217923445055</v>
      </c>
      <c r="Q227" s="5">
        <f>$Q$7*Q78</f>
        <v>-0.041010053838398085</v>
      </c>
      <c r="R227" s="5">
        <f>$Q$7*R78</f>
        <v>-0.02670873463535733</v>
      </c>
      <c r="S227" s="5">
        <f>$Q$7*S78</f>
        <v>-0.01781446509343598</v>
      </c>
      <c r="T227" s="5">
        <f>$Q$7*T78</f>
        <v>-0.018191457559831443</v>
      </c>
      <c r="U227" s="5">
        <f>$Q$7*U78</f>
        <v>-0.035820704210016444</v>
      </c>
      <c r="V227" s="5">
        <f>$Q$7*V78</f>
        <v>-0.08639648772776372</v>
      </c>
      <c r="W227" s="5">
        <f>$Q$7*W78</f>
        <v>-0.1918240398088352</v>
      </c>
      <c r="X227" s="5">
        <f>$Q$7*X78</f>
        <v>-0.34504975498252183</v>
      </c>
      <c r="Y227" s="5">
        <f>$Q$7*Y78</f>
        <v>-0.40771974464628347</v>
      </c>
      <c r="Z227" s="5">
        <f>$Q$7*Z78</f>
        <v>-0.14933430502483727</v>
      </c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/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GJ227" s="108"/>
      <c r="GK227" s="108"/>
      <c r="GL227" s="108"/>
      <c r="GM227" s="108"/>
      <c r="GN227" s="108"/>
      <c r="GO227" s="108"/>
      <c r="GP227" s="108"/>
      <c r="GQ227" s="108"/>
      <c r="GR227" s="108"/>
      <c r="GS227" s="108"/>
      <c r="GT227" s="108"/>
      <c r="GU227" s="108"/>
      <c r="GV227" s="108"/>
      <c r="GW227" s="108"/>
      <c r="GX227" s="108"/>
      <c r="GY227" s="108"/>
      <c r="GZ227" s="108"/>
      <c r="HA227" s="108"/>
      <c r="HB227" s="108"/>
      <c r="HC227" s="108"/>
      <c r="HD227" s="108"/>
      <c r="HE227" s="108"/>
      <c r="HF227" s="108"/>
      <c r="HG227" s="108"/>
      <c r="HH227" s="108"/>
      <c r="HI227" s="108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  <c r="IP227" s="108"/>
      <c r="IQ227" s="108"/>
      <c r="IR227" s="108"/>
      <c r="IS227" s="108"/>
      <c r="IT227" s="108"/>
      <c r="IU227" s="108"/>
      <c r="IV227" s="108"/>
    </row>
    <row r="228" spans="1:256" ht="12.75">
      <c r="A228" t="s">
        <v>206</v>
      </c>
      <c r="B228" s="5">
        <f>B225*B162+B226*B163+B227*B77</f>
        <v>-2.4411055272104276</v>
      </c>
      <c r="C228" s="5">
        <f>C225*C162+C226*C163+C227*C77</f>
        <v>-5.027928329159018</v>
      </c>
      <c r="D228" s="5">
        <f>D225*D162+D226*D163+D227*D77</f>
        <v>-3.114245016896088</v>
      </c>
      <c r="E228" s="5">
        <f>E225*E162+E226*E163+E227*E77</f>
        <v>-0.5707366493038211</v>
      </c>
      <c r="F228" s="5">
        <f>F225*F162+F226*F163+F227*F77</f>
        <v>0.6666842363565342</v>
      </c>
      <c r="G228" s="5">
        <f>G225*G162+G226*G163+G227*G77</f>
        <v>0.9205606207005284</v>
      </c>
      <c r="H228" s="5">
        <f>H225*H162+H226*H163+H227*H77</f>
        <v>0.7540957224424905</v>
      </c>
      <c r="I228" s="5">
        <f>I225*I162+I226*I163+I227*I77</f>
        <v>0.47092256876780836</v>
      </c>
      <c r="J228" s="5">
        <f>J225*J162+J226*J163+J227*J77</f>
        <v>0.19218395964193957</v>
      </c>
      <c r="K228" s="5">
        <f>K225*K162+K226*K163+K227*K77</f>
        <v>-0.04305406217366334</v>
      </c>
      <c r="L228" s="5">
        <f>L225*L162+L226*L163+L227*L77</f>
        <v>-0.22620230442148948</v>
      </c>
      <c r="M228" s="5">
        <f>M225*M162+M226*M163+M227*M77</f>
        <v>-0.3577827166460546</v>
      </c>
      <c r="N228" s="5">
        <f>N225*N162+N226*N163+N227*N77</f>
        <v>-0.44029534617641314</v>
      </c>
      <c r="O228" s="5">
        <f>O225*O162+O226*O163+O227*O77</f>
        <v>-0.4770405728940791</v>
      </c>
      <c r="P228" s="5">
        <f>P225*P162+P226*P163+P227*P77</f>
        <v>-0.4720219012208059</v>
      </c>
      <c r="Q228" s="5">
        <f>Q225*Q162+Q226*Q163+Q227*Q77</f>
        <v>-0.4278782745240672</v>
      </c>
      <c r="R228" s="5">
        <f>R225*R162+R226*R163+R227*R77</f>
        <v>-0.3403960178876431</v>
      </c>
      <c r="S228" s="5">
        <f>S225*S162+S226*S163+S227*S77</f>
        <v>-0.18865204036296226</v>
      </c>
      <c r="T228" s="5">
        <f>T225*T162+T226*T163+T227*T77</f>
        <v>0.08107647121782836</v>
      </c>
      <c r="U228" s="5">
        <f>U225*U162+U226*U163+U227*U77</f>
        <v>0.5773795819649937</v>
      </c>
      <c r="V228" s="5">
        <f>V225*V162+V226*V163+V227*V77</f>
        <v>1.465183941793962</v>
      </c>
      <c r="W228" s="5">
        <f>W225*W162+W226*W163+W227*W77</f>
        <v>2.803354598384635</v>
      </c>
      <c r="X228" s="5">
        <f>X225*X162+X226*X163+X227*X77</f>
        <v>3.859462222075704</v>
      </c>
      <c r="Y228" s="5">
        <f>Y225*Y162+Y226*Y163+Y227*Y77</f>
        <v>2.3364356130146966</v>
      </c>
      <c r="Z228" s="5">
        <f>Z225*Z162+Z226*Z163+Z227*Z77</f>
        <v>-2.4411055272104285</v>
      </c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/>
      <c r="DU228" s="108"/>
      <c r="DV228" s="108"/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/>
      <c r="EL228" s="108"/>
      <c r="EM228" s="108"/>
      <c r="EN228" s="108"/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/>
      <c r="FF228" s="108"/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/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I228" s="108"/>
      <c r="GJ228" s="108"/>
      <c r="GK228" s="108"/>
      <c r="GL228" s="108"/>
      <c r="GM228" s="108"/>
      <c r="GN228" s="108"/>
      <c r="GO228" s="108"/>
      <c r="GP228" s="108"/>
      <c r="GQ228" s="108"/>
      <c r="GR228" s="108"/>
      <c r="GS228" s="108"/>
      <c r="GT228" s="108"/>
      <c r="GU228" s="108"/>
      <c r="GV228" s="108"/>
      <c r="GW228" s="108"/>
      <c r="GX228" s="108"/>
      <c r="GY228" s="108"/>
      <c r="GZ228" s="108"/>
      <c r="HA228" s="108"/>
      <c r="HB228" s="108"/>
      <c r="HC228" s="108"/>
      <c r="HD228" s="108"/>
      <c r="HE228" s="108"/>
      <c r="HF228" s="108"/>
      <c r="HG228" s="108"/>
      <c r="HH228" s="108"/>
      <c r="HI228" s="108"/>
      <c r="HJ228" s="108"/>
      <c r="HK228" s="108"/>
      <c r="HL228" s="108"/>
      <c r="HM228" s="108"/>
      <c r="HN228" s="108"/>
      <c r="HO228" s="108"/>
      <c r="HP228" s="108"/>
      <c r="HQ228" s="108"/>
      <c r="HR228" s="108"/>
      <c r="HS228" s="108"/>
      <c r="HT228" s="108"/>
      <c r="HU228" s="108"/>
      <c r="HV228" s="108"/>
      <c r="HW228" s="108"/>
      <c r="HX228" s="108"/>
      <c r="HY228" s="108"/>
      <c r="HZ228" s="108"/>
      <c r="IA228" s="108"/>
      <c r="IB228" s="108"/>
      <c r="IC228" s="108"/>
      <c r="ID228" s="108"/>
      <c r="IE228" s="108"/>
      <c r="IF228" s="108"/>
      <c r="IG228" s="108"/>
      <c r="IH228" s="108"/>
      <c r="II228" s="108"/>
      <c r="IJ228" s="108"/>
      <c r="IK228" s="108"/>
      <c r="IL228" s="108"/>
      <c r="IM228" s="108"/>
      <c r="IN228" s="108"/>
      <c r="IO228" s="108"/>
      <c r="IP228" s="108"/>
      <c r="IQ228" s="108"/>
      <c r="IR228" s="108"/>
      <c r="IS228" s="108"/>
      <c r="IT228" s="108"/>
      <c r="IU228" s="108"/>
      <c r="IV228" s="108"/>
    </row>
    <row r="229" spans="1:256" ht="12.75">
      <c r="A229" t="s">
        <v>207</v>
      </c>
      <c r="B229" s="5">
        <f>B163*$O$7*$S$5</f>
        <v>7.254753972833246</v>
      </c>
      <c r="C229" s="5">
        <f>C163*$O$7*$S$5</f>
        <v>2.376816858581562</v>
      </c>
      <c r="D229" s="5">
        <f>D163*$O$7*$S$5</f>
        <v>0.09738902435216634</v>
      </c>
      <c r="E229" s="5">
        <f>E163*$O$7*$S$5</f>
        <v>-0.09174587546691285</v>
      </c>
      <c r="F229" s="5">
        <f>F163*$O$7*$S$5</f>
        <v>0.12327319433501217</v>
      </c>
      <c r="G229" s="5">
        <f>G163*$O$7*$S$5</f>
        <v>-0.12241265900620843</v>
      </c>
      <c r="H229" s="5">
        <f>H163*$O$7*$S$5</f>
        <v>-0.9577807039119155</v>
      </c>
      <c r="I229" s="5">
        <f>I163*$O$7*$S$5</f>
        <v>-2.2032320532917877</v>
      </c>
      <c r="J229" s="5">
        <f>J163*$O$7*$S$5</f>
        <v>-3.602797800326924</v>
      </c>
      <c r="K229" s="5">
        <f>K163*$O$7*$S$5</f>
        <v>-4.917987642656712</v>
      </c>
      <c r="L229" s="5">
        <f>L163*$O$7*$S$5</f>
        <v>-5.9636265750576065</v>
      </c>
      <c r="M229" s="5">
        <f>M163*$O$7*$S$5</f>
        <v>-6.619849951656929</v>
      </c>
      <c r="N229" s="5">
        <f>N163*$O$7*$S$5</f>
        <v>-6.830490476239078</v>
      </c>
      <c r="O229" s="5">
        <f>O163*$O$7*$S$5</f>
        <v>-6.590769713707891</v>
      </c>
      <c r="P229" s="5">
        <f>P163*$O$7*$S$5</f>
        <v>-5.927116618260562</v>
      </c>
      <c r="Q229" s="5">
        <f>Q163*$O$7*$S$5</f>
        <v>-4.873601301293257</v>
      </c>
      <c r="R229" s="5">
        <f>R163*$O$7*$S$5</f>
        <v>-3.4500163245983853</v>
      </c>
      <c r="S229" s="5">
        <f>S163*$O$7*$S$5</f>
        <v>-1.6459187581364778</v>
      </c>
      <c r="T229" s="5">
        <f>T163*$O$7*$S$5</f>
        <v>0.5841713253283378</v>
      </c>
      <c r="U229" s="5">
        <f>U163*$O$7*$S$5</f>
        <v>3.3004923094048664</v>
      </c>
      <c r="V229" s="5">
        <f>V163*$O$7*$S$5</f>
        <v>6.491093692589056</v>
      </c>
      <c r="W229" s="5">
        <f>W163*$O$7*$S$5</f>
        <v>9.824484284768184</v>
      </c>
      <c r="X229" s="5">
        <f>X163*$O$7*$S$5</f>
        <v>12.180507730220082</v>
      </c>
      <c r="Y229" s="5">
        <f>Y163*$O$7*$S$5</f>
        <v>11.564364021211091</v>
      </c>
      <c r="Z229" s="5">
        <f>Z163*$O$7*$S$5</f>
        <v>7.254753972833246</v>
      </c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  <c r="DT229" s="108"/>
      <c r="DU229" s="108"/>
      <c r="DV229" s="108"/>
      <c r="DW229" s="108"/>
      <c r="DX229" s="108"/>
      <c r="DY229" s="108"/>
      <c r="DZ229" s="108"/>
      <c r="EA229" s="108"/>
      <c r="EB229" s="108"/>
      <c r="EC229" s="108"/>
      <c r="ED229" s="108"/>
      <c r="EE229" s="108"/>
      <c r="EF229" s="108"/>
      <c r="EG229" s="108"/>
      <c r="EH229" s="108"/>
      <c r="EI229" s="108"/>
      <c r="EJ229" s="108"/>
      <c r="EK229" s="108"/>
      <c r="EL229" s="108"/>
      <c r="EM229" s="108"/>
      <c r="EN229" s="108"/>
      <c r="EO229" s="108"/>
      <c r="EP229" s="108"/>
      <c r="EQ229" s="108"/>
      <c r="ER229" s="108"/>
      <c r="ES229" s="108"/>
      <c r="ET229" s="108"/>
      <c r="EU229" s="108"/>
      <c r="EV229" s="108"/>
      <c r="EW229" s="108"/>
      <c r="EX229" s="108"/>
      <c r="EY229" s="108"/>
      <c r="EZ229" s="108"/>
      <c r="FA229" s="108"/>
      <c r="FB229" s="108"/>
      <c r="FC229" s="108"/>
      <c r="FD229" s="108"/>
      <c r="FE229" s="108"/>
      <c r="FF229" s="108"/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/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  <c r="GI229" s="108"/>
      <c r="GJ229" s="108"/>
      <c r="GK229" s="108"/>
      <c r="GL229" s="108"/>
      <c r="GM229" s="108"/>
      <c r="GN229" s="108"/>
      <c r="GO229" s="108"/>
      <c r="GP229" s="108"/>
      <c r="GQ229" s="108"/>
      <c r="GR229" s="108"/>
      <c r="GS229" s="108"/>
      <c r="GT229" s="108"/>
      <c r="GU229" s="108"/>
      <c r="GV229" s="108"/>
      <c r="GW229" s="108"/>
      <c r="GX229" s="108"/>
      <c r="GY229" s="108"/>
      <c r="GZ229" s="108"/>
      <c r="HA229" s="108"/>
      <c r="HB229" s="108"/>
      <c r="HC229" s="108"/>
      <c r="HD229" s="108"/>
      <c r="HE229" s="108"/>
      <c r="HF229" s="108"/>
      <c r="HG229" s="108"/>
      <c r="HH229" s="108"/>
      <c r="HI229" s="108"/>
      <c r="HJ229" s="108"/>
      <c r="HK229" s="108"/>
      <c r="HL229" s="108"/>
      <c r="HM229" s="108"/>
      <c r="HN229" s="108"/>
      <c r="HO229" s="108"/>
      <c r="HP229" s="108"/>
      <c r="HQ229" s="108"/>
      <c r="HR229" s="108"/>
      <c r="HS229" s="108"/>
      <c r="HT229" s="108"/>
      <c r="HU229" s="108"/>
      <c r="HV229" s="108"/>
      <c r="HW229" s="108"/>
      <c r="HX229" s="108"/>
      <c r="HY229" s="108"/>
      <c r="HZ229" s="108"/>
      <c r="IA229" s="108"/>
      <c r="IB229" s="108"/>
      <c r="IC229" s="108"/>
      <c r="ID229" s="108"/>
      <c r="IE229" s="108"/>
      <c r="IF229" s="108"/>
      <c r="IG229" s="108"/>
      <c r="IH229" s="108"/>
      <c r="II229" s="108"/>
      <c r="IJ229" s="108"/>
      <c r="IK229" s="108"/>
      <c r="IL229" s="108"/>
      <c r="IM229" s="108"/>
      <c r="IN229" s="108"/>
      <c r="IO229" s="108"/>
      <c r="IP229" s="108"/>
      <c r="IQ229" s="108"/>
      <c r="IR229" s="108"/>
      <c r="IS229" s="108"/>
      <c r="IT229" s="108"/>
      <c r="IU229" s="108"/>
      <c r="IV229" s="108"/>
    </row>
    <row r="231" spans="1:26" s="121" customFormat="1" ht="12.75">
      <c r="A231" s="39"/>
      <c r="B231" s="39"/>
      <c r="C231" s="78" t="s">
        <v>237</v>
      </c>
      <c r="D231" s="78"/>
      <c r="E231" s="78"/>
      <c r="F231" s="78"/>
      <c r="G231" s="78"/>
      <c r="H231" s="78"/>
      <c r="I231" s="78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56" ht="12.75">
      <c r="A232" t="s">
        <v>190</v>
      </c>
      <c r="B232" s="5">
        <f>0.5*$O$8*(B169^2+B170^2)</f>
        <v>2.129350256904827</v>
      </c>
      <c r="C232" s="5">
        <f>0.5*$O$8*(C169^2+C170^2)</f>
        <v>1.1543392612073764</v>
      </c>
      <c r="D232" s="5">
        <f>0.5*$O$8*(D169^2+D170^2)</f>
        <v>0.3286134854946185</v>
      </c>
      <c r="E232" s="5">
        <f>0.5*$O$8*(E169^2+E170^2)</f>
        <v>0.016041197256063313</v>
      </c>
      <c r="F232" s="5">
        <f>0.5*$O$8*(F169^2+F170^2)</f>
        <v>0.043488227638801544</v>
      </c>
      <c r="G232" s="5">
        <f>0.5*$O$8*(G169^2+G170^2)</f>
        <v>0.1953621829139794</v>
      </c>
      <c r="H232" s="5">
        <f>0.5*$O$8*(H169^2+H170^2)</f>
        <v>0.35994245437998745</v>
      </c>
      <c r="I232" s="5">
        <f>0.5*$O$8*(I169^2+I170^2)</f>
        <v>0.4962118778406036</v>
      </c>
      <c r="J232" s="5">
        <f>0.5*$O$8*(J169^2+J170^2)</f>
        <v>0.5915889182899907</v>
      </c>
      <c r="K232" s="5">
        <f>0.5*$O$8*(K169^2+K170^2)</f>
        <v>0.6419392131795745</v>
      </c>
      <c r="L232" s="5">
        <f>0.5*$O$8*(L169^2+L170^2)</f>
        <v>0.6460643663682999</v>
      </c>
      <c r="M232" s="5">
        <f>0.5*$O$8*(M169^2+M170^2)</f>
        <v>0.6060653682748247</v>
      </c>
      <c r="N232" s="5">
        <f>0.5*$O$8*(N169^2+N170^2)</f>
        <v>0.5286113311549034</v>
      </c>
      <c r="O232" s="5">
        <f>0.5*$O$8*(O169^2+O170^2)</f>
        <v>0.42475488012123314</v>
      </c>
      <c r="P232" s="5">
        <f>0.5*$O$8*(P169^2+P170^2)</f>
        <v>0.30806604038768426</v>
      </c>
      <c r="Q232" s="5">
        <f>0.5*$O$8*(Q169^2+Q170^2)</f>
        <v>0.19243140150950455</v>
      </c>
      <c r="R232" s="5">
        <f>0.5*$O$8*(R169^2+R170^2)</f>
        <v>0.09134454591910342</v>
      </c>
      <c r="S232" s="5">
        <f>0.5*$O$8*(S169^2+S170^2)</f>
        <v>0.020156142880174338</v>
      </c>
      <c r="T232" s="5">
        <f>0.5*$O$8*(T169^2+T170^2)</f>
        <v>0.0025223164648811194</v>
      </c>
      <c r="U232" s="5">
        <f>0.5*$O$8*(U169^2+U170^2)</f>
        <v>0.08233684154875154</v>
      </c>
      <c r="V232" s="5">
        <f>0.5*$O$8*(V169^2+V170^2)</f>
        <v>0.33869958528879757</v>
      </c>
      <c r="W232" s="5">
        <f>0.5*$O$8*(W169^2+W170^2)</f>
        <v>0.8765996166050167</v>
      </c>
      <c r="X232" s="5">
        <f>0.5*$O$8*(X169^2+X170^2)</f>
        <v>1.693020134720755</v>
      </c>
      <c r="Y232" s="5">
        <f>0.5*$O$8*(Y169^2+Y170^2)</f>
        <v>2.3536033685039017</v>
      </c>
      <c r="Z232" s="5">
        <f>0.5*$O$8*(Z169^2+Z170^2)</f>
        <v>2.1293502569048277</v>
      </c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  <c r="DQ232" s="108"/>
      <c r="DR232" s="108"/>
      <c r="DS232" s="108"/>
      <c r="DT232" s="108"/>
      <c r="DU232" s="108"/>
      <c r="DV232" s="108"/>
      <c r="DW232" s="108"/>
      <c r="DX232" s="108"/>
      <c r="DY232" s="108"/>
      <c r="DZ232" s="108"/>
      <c r="EA232" s="108"/>
      <c r="EB232" s="108"/>
      <c r="EC232" s="108"/>
      <c r="ED232" s="108"/>
      <c r="EE232" s="108"/>
      <c r="EF232" s="108"/>
      <c r="EG232" s="108"/>
      <c r="EH232" s="108"/>
      <c r="EI232" s="108"/>
      <c r="EJ232" s="108"/>
      <c r="EK232" s="108"/>
      <c r="EL232" s="108"/>
      <c r="EM232" s="108"/>
      <c r="EN232" s="108"/>
      <c r="EO232" s="108"/>
      <c r="EP232" s="108"/>
      <c r="EQ232" s="108"/>
      <c r="ER232" s="108"/>
      <c r="ES232" s="108"/>
      <c r="ET232" s="108"/>
      <c r="EU232" s="108"/>
      <c r="EV232" s="108"/>
      <c r="EW232" s="108"/>
      <c r="EX232" s="108"/>
      <c r="EY232" s="108"/>
      <c r="EZ232" s="108"/>
      <c r="FA232" s="108"/>
      <c r="FB232" s="108"/>
      <c r="FC232" s="108"/>
      <c r="FD232" s="108"/>
      <c r="FE232" s="108"/>
      <c r="FF232" s="108"/>
      <c r="FG232" s="108"/>
      <c r="FH232" s="108"/>
      <c r="FI232" s="108"/>
      <c r="FJ232" s="108"/>
      <c r="FK232" s="108"/>
      <c r="FL232" s="108"/>
      <c r="FM232" s="108"/>
      <c r="FN232" s="108"/>
      <c r="FO232" s="108"/>
      <c r="FP232" s="108"/>
      <c r="FQ232" s="108"/>
      <c r="FR232" s="108"/>
      <c r="FS232" s="108"/>
      <c r="FT232" s="108"/>
      <c r="FU232" s="108"/>
      <c r="FV232" s="108"/>
      <c r="FW232" s="108"/>
      <c r="FX232" s="108"/>
      <c r="FY232" s="108"/>
      <c r="FZ232" s="108"/>
      <c r="GA232" s="108"/>
      <c r="GB232" s="108"/>
      <c r="GC232" s="108"/>
      <c r="GD232" s="108"/>
      <c r="GE232" s="108"/>
      <c r="GF232" s="108"/>
      <c r="GG232" s="108"/>
      <c r="GH232" s="108"/>
      <c r="GI232" s="108"/>
      <c r="GJ232" s="108"/>
      <c r="GK232" s="108"/>
      <c r="GL232" s="108"/>
      <c r="GM232" s="108"/>
      <c r="GN232" s="108"/>
      <c r="GO232" s="108"/>
      <c r="GP232" s="108"/>
      <c r="GQ232" s="108"/>
      <c r="GR232" s="108"/>
      <c r="GS232" s="108"/>
      <c r="GT232" s="108"/>
      <c r="GU232" s="108"/>
      <c r="GV232" s="108"/>
      <c r="GW232" s="108"/>
      <c r="GX232" s="108"/>
      <c r="GY232" s="108"/>
      <c r="GZ232" s="108"/>
      <c r="HA232" s="108"/>
      <c r="HB232" s="108"/>
      <c r="HC232" s="108"/>
      <c r="HD232" s="108"/>
      <c r="HE232" s="108"/>
      <c r="HF232" s="108"/>
      <c r="HG232" s="108"/>
      <c r="HH232" s="108"/>
      <c r="HI232" s="108"/>
      <c r="HJ232" s="108"/>
      <c r="HK232" s="108"/>
      <c r="HL232" s="108"/>
      <c r="HM232" s="108"/>
      <c r="HN232" s="108"/>
      <c r="HO232" s="108"/>
      <c r="HP232" s="108"/>
      <c r="HQ232" s="108"/>
      <c r="HR232" s="108"/>
      <c r="HS232" s="108"/>
      <c r="HT232" s="108"/>
      <c r="HU232" s="108"/>
      <c r="HV232" s="108"/>
      <c r="HW232" s="108"/>
      <c r="HX232" s="108"/>
      <c r="HY232" s="108"/>
      <c r="HZ232" s="108"/>
      <c r="IA232" s="108"/>
      <c r="IB232" s="108"/>
      <c r="IC232" s="108"/>
      <c r="ID232" s="108"/>
      <c r="IE232" s="108"/>
      <c r="IF232" s="108"/>
      <c r="IG232" s="108"/>
      <c r="IH232" s="108"/>
      <c r="II232" s="108"/>
      <c r="IJ232" s="108"/>
      <c r="IK232" s="108"/>
      <c r="IL232" s="108"/>
      <c r="IM232" s="108"/>
      <c r="IN232" s="108"/>
      <c r="IO232" s="108"/>
      <c r="IP232" s="108"/>
      <c r="IQ232" s="108"/>
      <c r="IR232" s="108"/>
      <c r="IS232" s="108"/>
      <c r="IT232" s="108"/>
      <c r="IU232" s="108"/>
      <c r="IV232" s="108"/>
    </row>
    <row r="233" spans="1:256" ht="12.75">
      <c r="A233" t="s">
        <v>191</v>
      </c>
      <c r="B233" s="5">
        <f>$O$8*B171</f>
        <v>-0.6802853645796936</v>
      </c>
      <c r="C233" s="5">
        <f>$O$8*C171</f>
        <v>-1.2973860662146965</v>
      </c>
      <c r="D233" s="5">
        <f>$O$8*D171</f>
        <v>-1.32956902646237</v>
      </c>
      <c r="E233" s="5">
        <f>$O$8*E171</f>
        <v>-1.0604957304400662</v>
      </c>
      <c r="F233" s="5">
        <f>$O$8*F171</f>
        <v>-0.7568453482146065</v>
      </c>
      <c r="G233" s="5">
        <f>$O$8*G171</f>
        <v>-0.5169032430580287</v>
      </c>
      <c r="H233" s="5">
        <f>$O$8*H171</f>
        <v>-0.34637645491690233</v>
      </c>
      <c r="I233" s="5">
        <f>$O$8*I171</f>
        <v>-0.22405065273809452</v>
      </c>
      <c r="J233" s="5">
        <f>$O$8*J171</f>
        <v>-0.1286460373643029</v>
      </c>
      <c r="K233" s="5">
        <f>$O$8*K171</f>
        <v>-0.04587135369315666</v>
      </c>
      <c r="L233" s="5">
        <f>$O$8*L171</f>
        <v>0.0313194230297727</v>
      </c>
      <c r="M233" s="5">
        <f>$O$8*M171</f>
        <v>0.10450396672736367</v>
      </c>
      <c r="N233" s="5">
        <f>$O$8*N171</f>
        <v>0.1723498533990611</v>
      </c>
      <c r="O233" s="5">
        <f>$O$8*O171</f>
        <v>0.23336668897460855</v>
      </c>
      <c r="P233" s="5">
        <f>$O$8*P171</f>
        <v>0.28814633771940545</v>
      </c>
      <c r="Q233" s="5">
        <f>$O$8*Q171</f>
        <v>0.34057802939970794</v>
      </c>
      <c r="R233" s="5">
        <f>$O$8*R171</f>
        <v>0.39808420113249254</v>
      </c>
      <c r="S233" s="5">
        <f>$O$8*S171</f>
        <v>0.47125880388679886</v>
      </c>
      <c r="T233" s="5">
        <f>$O$8*T171</f>
        <v>0.572731845052914</v>
      </c>
      <c r="U233" s="5">
        <f>$O$8*U171</f>
        <v>0.7127542438978508</v>
      </c>
      <c r="V233" s="5">
        <f>$O$8*V171</f>
        <v>0.8830514482891489</v>
      </c>
      <c r="W233" s="5">
        <f>$O$8*W171</f>
        <v>1.0116410221732657</v>
      </c>
      <c r="X233" s="5">
        <f>$O$8*X171</f>
        <v>0.8937512915065586</v>
      </c>
      <c r="Y233" s="5">
        <f>$O$8*Y171</f>
        <v>0.2728920165890684</v>
      </c>
      <c r="Z233" s="5">
        <f>$O$8*Z171</f>
        <v>-0.6802853645796937</v>
      </c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/>
      <c r="DU233" s="108"/>
      <c r="DV233" s="108"/>
      <c r="DW233" s="108"/>
      <c r="DX233" s="108"/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8"/>
      <c r="EM233" s="108"/>
      <c r="EN233" s="108"/>
      <c r="EO233" s="108"/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8"/>
      <c r="EZ233" s="108"/>
      <c r="FA233" s="108"/>
      <c r="FB233" s="108"/>
      <c r="FC233" s="108"/>
      <c r="FD233" s="108"/>
      <c r="FE233" s="108"/>
      <c r="FF233" s="108"/>
      <c r="FG233" s="108"/>
      <c r="FH233" s="108"/>
      <c r="FI233" s="108"/>
      <c r="FJ233" s="108"/>
      <c r="FK233" s="108"/>
      <c r="FL233" s="108"/>
      <c r="FM233" s="108"/>
      <c r="FN233" s="108"/>
      <c r="FO233" s="108"/>
      <c r="FP233" s="108"/>
      <c r="FQ233" s="108"/>
      <c r="FR233" s="108"/>
      <c r="FS233" s="108"/>
      <c r="FT233" s="108"/>
      <c r="FU233" s="108"/>
      <c r="FV233" s="108"/>
      <c r="FW233" s="108"/>
      <c r="FX233" s="108"/>
      <c r="FY233" s="108"/>
      <c r="FZ233" s="108"/>
      <c r="GA233" s="108"/>
      <c r="GB233" s="108"/>
      <c r="GC233" s="108"/>
      <c r="GD233" s="108"/>
      <c r="GE233" s="108"/>
      <c r="GF233" s="108"/>
      <c r="GG233" s="108"/>
      <c r="GH233" s="108"/>
      <c r="GI233" s="108"/>
      <c r="GJ233" s="108"/>
      <c r="GK233" s="108"/>
      <c r="GL233" s="108"/>
      <c r="GM233" s="108"/>
      <c r="GN233" s="108"/>
      <c r="GO233" s="108"/>
      <c r="GP233" s="108"/>
      <c r="GQ233" s="108"/>
      <c r="GR233" s="108"/>
      <c r="GS233" s="108"/>
      <c r="GT233" s="108"/>
      <c r="GU233" s="108"/>
      <c r="GV233" s="108"/>
      <c r="GW233" s="108"/>
      <c r="GX233" s="108"/>
      <c r="GY233" s="108"/>
      <c r="GZ233" s="108"/>
      <c r="HA233" s="108"/>
      <c r="HB233" s="108"/>
      <c r="HC233" s="108"/>
      <c r="HD233" s="108"/>
      <c r="HE233" s="108"/>
      <c r="HF233" s="108"/>
      <c r="HG233" s="108"/>
      <c r="HH233" s="108"/>
      <c r="HI233" s="108"/>
      <c r="HJ233" s="108"/>
      <c r="HK233" s="108"/>
      <c r="HL233" s="108"/>
      <c r="HM233" s="108"/>
      <c r="HN233" s="108"/>
      <c r="HO233" s="108"/>
      <c r="HP233" s="108"/>
      <c r="HQ233" s="108"/>
      <c r="HR233" s="108"/>
      <c r="HS233" s="108"/>
      <c r="HT233" s="108"/>
      <c r="HU233" s="108"/>
      <c r="HV233" s="108"/>
      <c r="HW233" s="108"/>
      <c r="HX233" s="108"/>
      <c r="HY233" s="108"/>
      <c r="HZ233" s="108"/>
      <c r="IA233" s="108"/>
      <c r="IB233" s="108"/>
      <c r="IC233" s="108"/>
      <c r="ID233" s="108"/>
      <c r="IE233" s="108"/>
      <c r="IF233" s="108"/>
      <c r="IG233" s="108"/>
      <c r="IH233" s="108"/>
      <c r="II233" s="108"/>
      <c r="IJ233" s="108"/>
      <c r="IK233" s="108"/>
      <c r="IL233" s="108"/>
      <c r="IM233" s="108"/>
      <c r="IN233" s="108"/>
      <c r="IO233" s="108"/>
      <c r="IP233" s="108"/>
      <c r="IQ233" s="108"/>
      <c r="IR233" s="108"/>
      <c r="IS233" s="108"/>
      <c r="IT233" s="108"/>
      <c r="IU233" s="108"/>
      <c r="IV233" s="108"/>
    </row>
    <row r="234" spans="1:256" ht="12.75">
      <c r="A234" t="s">
        <v>192</v>
      </c>
      <c r="B234" s="5">
        <f>$O$8*B172</f>
        <v>-1.1782888150975466</v>
      </c>
      <c r="C234" s="5">
        <f>$O$8*C172</f>
        <v>-2.2471385837157727</v>
      </c>
      <c r="D234" s="5">
        <f>$O$8*D172</f>
        <v>-2.3028811060027126</v>
      </c>
      <c r="E234" s="5">
        <f>$O$8*E172</f>
        <v>-1.8368324863320618</v>
      </c>
      <c r="F234" s="5">
        <f>$O$8*F172</f>
        <v>-1.3108945965798569</v>
      </c>
      <c r="G234" s="5">
        <f>$O$8*G172</f>
        <v>-0.89530267957363</v>
      </c>
      <c r="H234" s="5">
        <f>$O$8*H172</f>
        <v>-0.5999416184616655</v>
      </c>
      <c r="I234" s="5">
        <f>$O$8*I172</f>
        <v>-0.3880671140113504</v>
      </c>
      <c r="J234" s="5">
        <f>$O$8*J172</f>
        <v>-0.22282147290737692</v>
      </c>
      <c r="K234" s="5">
        <f>$O$8*K172</f>
        <v>-0.07945151520850961</v>
      </c>
      <c r="L234" s="5">
        <f>$O$8*L172</f>
        <v>0.05424683195130915</v>
      </c>
      <c r="M234" s="5">
        <f>$O$8*M172</f>
        <v>0.181006179964281</v>
      </c>
      <c r="N234" s="5">
        <f>$O$8*N172</f>
        <v>0.2985187027642212</v>
      </c>
      <c r="O234" s="5">
        <f>$O$8*O172</f>
        <v>0.4042029620981456</v>
      </c>
      <c r="P234" s="5">
        <f>$O$8*P172</f>
        <v>0.49908409694491046</v>
      </c>
      <c r="Q234" s="5">
        <f>$O$8*Q172</f>
        <v>0.5898984508619808</v>
      </c>
      <c r="R234" s="5">
        <f>$O$8*R172</f>
        <v>0.6895020620519449</v>
      </c>
      <c r="S234" s="5">
        <f>$O$8*S172</f>
        <v>0.8162441918460729</v>
      </c>
      <c r="T234" s="5">
        <f>$O$8*T172</f>
        <v>0.9920006547443128</v>
      </c>
      <c r="U234" s="5">
        <f>$O$8*U172</f>
        <v>1.234526563741417</v>
      </c>
      <c r="V234" s="5">
        <f>$O$8*V172</f>
        <v>1.5294899741340862</v>
      </c>
      <c r="W234" s="5">
        <f>$O$8*W172</f>
        <v>1.7522136494250093</v>
      </c>
      <c r="X234" s="5">
        <f>$O$8*X172</f>
        <v>1.5480226462196611</v>
      </c>
      <c r="Y234" s="5">
        <f>$O$8*Y172</f>
        <v>0.47266283771219664</v>
      </c>
      <c r="Z234" s="5">
        <f>$O$8*Z172</f>
        <v>-1.1782888150975466</v>
      </c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  <c r="DJ234" s="108"/>
      <c r="DK234" s="108"/>
      <c r="DL234" s="108"/>
      <c r="DM234" s="108"/>
      <c r="DN234" s="108"/>
      <c r="DO234" s="108"/>
      <c r="DP234" s="108"/>
      <c r="DQ234" s="108"/>
      <c r="DR234" s="108"/>
      <c r="DS234" s="108"/>
      <c r="DT234" s="108"/>
      <c r="DU234" s="108"/>
      <c r="DV234" s="108"/>
      <c r="DW234" s="108"/>
      <c r="DX234" s="108"/>
      <c r="DY234" s="108"/>
      <c r="DZ234" s="108"/>
      <c r="EA234" s="108"/>
      <c r="EB234" s="108"/>
      <c r="EC234" s="108"/>
      <c r="ED234" s="108"/>
      <c r="EE234" s="108"/>
      <c r="EF234" s="108"/>
      <c r="EG234" s="108"/>
      <c r="EH234" s="108"/>
      <c r="EI234" s="108"/>
      <c r="EJ234" s="108"/>
      <c r="EK234" s="108"/>
      <c r="EL234" s="108"/>
      <c r="EM234" s="108"/>
      <c r="EN234" s="108"/>
      <c r="EO234" s="108"/>
      <c r="EP234" s="108"/>
      <c r="EQ234" s="108"/>
      <c r="ER234" s="108"/>
      <c r="ES234" s="108"/>
      <c r="ET234" s="108"/>
      <c r="EU234" s="108"/>
      <c r="EV234" s="108"/>
      <c r="EW234" s="108"/>
      <c r="EX234" s="108"/>
      <c r="EY234" s="108"/>
      <c r="EZ234" s="108"/>
      <c r="FA234" s="108"/>
      <c r="FB234" s="108"/>
      <c r="FC234" s="108"/>
      <c r="FD234" s="108"/>
      <c r="FE234" s="108"/>
      <c r="FF234" s="108"/>
      <c r="FG234" s="108"/>
      <c r="FH234" s="108"/>
      <c r="FI234" s="108"/>
      <c r="FJ234" s="108"/>
      <c r="FK234" s="108"/>
      <c r="FL234" s="108"/>
      <c r="FM234" s="108"/>
      <c r="FN234" s="108"/>
      <c r="FO234" s="108"/>
      <c r="FP234" s="108"/>
      <c r="FQ234" s="108"/>
      <c r="FR234" s="108"/>
      <c r="FS234" s="108"/>
      <c r="FT234" s="108"/>
      <c r="FU234" s="108"/>
      <c r="FV234" s="108"/>
      <c r="FW234" s="108"/>
      <c r="FX234" s="108"/>
      <c r="FY234" s="108"/>
      <c r="FZ234" s="108"/>
      <c r="GA234" s="108"/>
      <c r="GB234" s="108"/>
      <c r="GC234" s="108"/>
      <c r="GD234" s="108"/>
      <c r="GE234" s="108"/>
      <c r="GF234" s="108"/>
      <c r="GG234" s="108"/>
      <c r="GH234" s="108"/>
      <c r="GI234" s="108"/>
      <c r="GJ234" s="108"/>
      <c r="GK234" s="108"/>
      <c r="GL234" s="108"/>
      <c r="GM234" s="108"/>
      <c r="GN234" s="108"/>
      <c r="GO234" s="108"/>
      <c r="GP234" s="108"/>
      <c r="GQ234" s="108"/>
      <c r="GR234" s="108"/>
      <c r="GS234" s="108"/>
      <c r="GT234" s="108"/>
      <c r="GU234" s="108"/>
      <c r="GV234" s="108"/>
      <c r="GW234" s="108"/>
      <c r="GX234" s="108"/>
      <c r="GY234" s="108"/>
      <c r="GZ234" s="108"/>
      <c r="HA234" s="108"/>
      <c r="HB234" s="108"/>
      <c r="HC234" s="108"/>
      <c r="HD234" s="108"/>
      <c r="HE234" s="108"/>
      <c r="HF234" s="108"/>
      <c r="HG234" s="108"/>
      <c r="HH234" s="108"/>
      <c r="HI234" s="108"/>
      <c r="HJ234" s="108"/>
      <c r="HK234" s="108"/>
      <c r="HL234" s="108"/>
      <c r="HM234" s="108"/>
      <c r="HN234" s="108"/>
      <c r="HO234" s="108"/>
      <c r="HP234" s="108"/>
      <c r="HQ234" s="108"/>
      <c r="HR234" s="108"/>
      <c r="HS234" s="108"/>
      <c r="HT234" s="108"/>
      <c r="HU234" s="108"/>
      <c r="HV234" s="108"/>
      <c r="HW234" s="108"/>
      <c r="HX234" s="108"/>
      <c r="HY234" s="108"/>
      <c r="HZ234" s="108"/>
      <c r="IA234" s="108"/>
      <c r="IB234" s="108"/>
      <c r="IC234" s="108"/>
      <c r="ID234" s="108"/>
      <c r="IE234" s="108"/>
      <c r="IF234" s="108"/>
      <c r="IG234" s="108"/>
      <c r="IH234" s="108"/>
      <c r="II234" s="108"/>
      <c r="IJ234" s="108"/>
      <c r="IK234" s="108"/>
      <c r="IL234" s="108"/>
      <c r="IM234" s="108"/>
      <c r="IN234" s="108"/>
      <c r="IO234" s="108"/>
      <c r="IP234" s="108"/>
      <c r="IQ234" s="108"/>
      <c r="IR234" s="108"/>
      <c r="IS234" s="108"/>
      <c r="IT234" s="108"/>
      <c r="IU234" s="108"/>
      <c r="IV234" s="108"/>
    </row>
    <row r="235" spans="1:256" ht="12.75">
      <c r="A235" t="s">
        <v>193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  <c r="DJ235" s="108"/>
      <c r="DK235" s="108"/>
      <c r="DL235" s="108"/>
      <c r="DM235" s="108"/>
      <c r="DN235" s="108"/>
      <c r="DO235" s="108"/>
      <c r="DP235" s="108"/>
      <c r="DQ235" s="108"/>
      <c r="DR235" s="108"/>
      <c r="DS235" s="108"/>
      <c r="DT235" s="108"/>
      <c r="DU235" s="108"/>
      <c r="DV235" s="108"/>
      <c r="DW235" s="108"/>
      <c r="DX235" s="108"/>
      <c r="DY235" s="108"/>
      <c r="DZ235" s="108"/>
      <c r="EA235" s="108"/>
      <c r="EB235" s="108"/>
      <c r="EC235" s="108"/>
      <c r="ED235" s="108"/>
      <c r="EE235" s="108"/>
      <c r="EF235" s="108"/>
      <c r="EG235" s="108"/>
      <c r="EH235" s="108"/>
      <c r="EI235" s="108"/>
      <c r="EJ235" s="108"/>
      <c r="EK235" s="108"/>
      <c r="EL235" s="108"/>
      <c r="EM235" s="108"/>
      <c r="EN235" s="108"/>
      <c r="EO235" s="108"/>
      <c r="EP235" s="108"/>
      <c r="EQ235" s="108"/>
      <c r="ER235" s="108"/>
      <c r="ES235" s="108"/>
      <c r="ET235" s="108"/>
      <c r="EU235" s="108"/>
      <c r="EV235" s="108"/>
      <c r="EW235" s="108"/>
      <c r="EX235" s="108"/>
      <c r="EY235" s="108"/>
      <c r="EZ235" s="108"/>
      <c r="FA235" s="108"/>
      <c r="FB235" s="108"/>
      <c r="FC235" s="108"/>
      <c r="FD235" s="108"/>
      <c r="FE235" s="108"/>
      <c r="FF235" s="108"/>
      <c r="FG235" s="108"/>
      <c r="FH235" s="108"/>
      <c r="FI235" s="108"/>
      <c r="FJ235" s="108"/>
      <c r="FK235" s="108"/>
      <c r="FL235" s="108"/>
      <c r="FM235" s="108"/>
      <c r="FN235" s="108"/>
      <c r="FO235" s="108"/>
      <c r="FP235" s="108"/>
      <c r="FQ235" s="108"/>
      <c r="FR235" s="108"/>
      <c r="FS235" s="108"/>
      <c r="FT235" s="108"/>
      <c r="FU235" s="108"/>
      <c r="FV235" s="108"/>
      <c r="FW235" s="108"/>
      <c r="FX235" s="108"/>
      <c r="FY235" s="108"/>
      <c r="FZ235" s="108"/>
      <c r="GA235" s="108"/>
      <c r="GB235" s="108"/>
      <c r="GC235" s="108"/>
      <c r="GD235" s="108"/>
      <c r="GE235" s="108"/>
      <c r="GF235" s="108"/>
      <c r="GG235" s="108"/>
      <c r="GH235" s="108"/>
      <c r="GI235" s="108"/>
      <c r="GJ235" s="108"/>
      <c r="GK235" s="108"/>
      <c r="GL235" s="108"/>
      <c r="GM235" s="108"/>
      <c r="GN235" s="108"/>
      <c r="GO235" s="108"/>
      <c r="GP235" s="108"/>
      <c r="GQ235" s="108"/>
      <c r="GR235" s="108"/>
      <c r="GS235" s="108"/>
      <c r="GT235" s="108"/>
      <c r="GU235" s="108"/>
      <c r="GV235" s="108"/>
      <c r="GW235" s="108"/>
      <c r="GX235" s="108"/>
      <c r="GY235" s="108"/>
      <c r="GZ235" s="108"/>
      <c r="HA235" s="108"/>
      <c r="HB235" s="108"/>
      <c r="HC235" s="108"/>
      <c r="HD235" s="108"/>
      <c r="HE235" s="108"/>
      <c r="HF235" s="108"/>
      <c r="HG235" s="108"/>
      <c r="HH235" s="108"/>
      <c r="HI235" s="108"/>
      <c r="HJ235" s="108"/>
      <c r="HK235" s="108"/>
      <c r="HL235" s="108"/>
      <c r="HM235" s="108"/>
      <c r="HN235" s="108"/>
      <c r="HO235" s="108"/>
      <c r="HP235" s="108"/>
      <c r="HQ235" s="108"/>
      <c r="HR235" s="108"/>
      <c r="HS235" s="108"/>
      <c r="HT235" s="108"/>
      <c r="HU235" s="108"/>
      <c r="HV235" s="108"/>
      <c r="HW235" s="108"/>
      <c r="HX235" s="108"/>
      <c r="HY235" s="108"/>
      <c r="HZ235" s="108"/>
      <c r="IA235" s="108"/>
      <c r="IB235" s="108"/>
      <c r="IC235" s="108"/>
      <c r="ID235" s="108"/>
      <c r="IE235" s="108"/>
      <c r="IF235" s="108"/>
      <c r="IG235" s="108"/>
      <c r="IH235" s="108"/>
      <c r="II235" s="108"/>
      <c r="IJ235" s="108"/>
      <c r="IK235" s="108"/>
      <c r="IL235" s="108"/>
      <c r="IM235" s="108"/>
      <c r="IN235" s="108"/>
      <c r="IO235" s="108"/>
      <c r="IP235" s="108"/>
      <c r="IQ235" s="108"/>
      <c r="IR235" s="108"/>
      <c r="IS235" s="108"/>
      <c r="IT235" s="108"/>
      <c r="IU235" s="108"/>
      <c r="IV235" s="108"/>
    </row>
    <row r="236" spans="1:256" ht="12.75">
      <c r="A236" t="s">
        <v>208</v>
      </c>
      <c r="B236" s="5">
        <f>B233*B169+B234*B170</f>
        <v>-2.8077580011730676</v>
      </c>
      <c r="C236" s="5">
        <f>C233*C169+C234*C170</f>
        <v>-3.942584011544244</v>
      </c>
      <c r="D236" s="5">
        <f>D233*D169+D234*D170</f>
        <v>-2.155750888098151</v>
      </c>
      <c r="E236" s="5">
        <f>E233*E169+E234*E170</f>
        <v>-0.37990263649244094</v>
      </c>
      <c r="F236" s="5">
        <f>F233*F169+F234*F170</f>
        <v>0.44641419282798367</v>
      </c>
      <c r="G236" s="5">
        <f>G233*G169+G234*G170</f>
        <v>0.6462112286269864</v>
      </c>
      <c r="H236" s="5">
        <f>H233*H169+H234*H170</f>
        <v>0.5877733531684617</v>
      </c>
      <c r="I236" s="5">
        <f>I233*I169+I234*I170</f>
        <v>0.4464006156564726</v>
      </c>
      <c r="J236" s="5">
        <f>J233*J169+J234*J170</f>
        <v>0.2798668256581717</v>
      </c>
      <c r="K236" s="5">
        <f>K233*K169+K234*K170</f>
        <v>0.1039521564210213</v>
      </c>
      <c r="L236" s="5">
        <f>L233*L169+L234*L170</f>
        <v>-0.07120272919682029</v>
      </c>
      <c r="M236" s="5">
        <f>M233*M169+M234*M170</f>
        <v>-0.23011106541877308</v>
      </c>
      <c r="N236" s="5">
        <f>N233*N169+N234*N170</f>
        <v>-0.35442483510678624</v>
      </c>
      <c r="O236" s="5">
        <f>O233*O169+O234*O170</f>
        <v>-0.43018280454560986</v>
      </c>
      <c r="P236" s="5">
        <f>P233*P169+P234*P170</f>
        <v>-0.45235564150141766</v>
      </c>
      <c r="Q236" s="5">
        <f>Q233*Q169+Q234*Q170</f>
        <v>-0.4225709066596125</v>
      </c>
      <c r="R236" s="5">
        <f>R233*R169+R234*R170</f>
        <v>-0.34029944913855964</v>
      </c>
      <c r="S236" s="5">
        <f>S233*S169+S234*S170</f>
        <v>-0.18923792800678074</v>
      </c>
      <c r="T236" s="5">
        <f>T233*T169+T234*T170</f>
        <v>0.0813572222767226</v>
      </c>
      <c r="U236" s="5">
        <f>U233*U169+U234*U170</f>
        <v>0.5784714200447016</v>
      </c>
      <c r="V236" s="5">
        <f>V233*V169+V234*V170</f>
        <v>1.4535779726146776</v>
      </c>
      <c r="W236" s="5">
        <f>W233*W169+W234*W170</f>
        <v>2.678995989164644</v>
      </c>
      <c r="X236" s="5">
        <f>X233*X169+X234*X170</f>
        <v>3.2892185998040326</v>
      </c>
      <c r="Y236" s="5">
        <f>Y233*Y169+Y234*Y170</f>
        <v>1.1841383937018934</v>
      </c>
      <c r="Z236" s="5">
        <f>Z233*Z169+Z234*Z170</f>
        <v>-2.8077580011730685</v>
      </c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8"/>
      <c r="DL236" s="108"/>
      <c r="DM236" s="108"/>
      <c r="DN236" s="108"/>
      <c r="DO236" s="108"/>
      <c r="DP236" s="108"/>
      <c r="DQ236" s="108"/>
      <c r="DR236" s="108"/>
      <c r="DS236" s="108"/>
      <c r="DT236" s="108"/>
      <c r="DU236" s="108"/>
      <c r="DV236" s="108"/>
      <c r="DW236" s="108"/>
      <c r="DX236" s="108"/>
      <c r="DY236" s="108"/>
      <c r="DZ236" s="108"/>
      <c r="EA236" s="108"/>
      <c r="EB236" s="108"/>
      <c r="EC236" s="108"/>
      <c r="ED236" s="108"/>
      <c r="EE236" s="108"/>
      <c r="EF236" s="108"/>
      <c r="EG236" s="108"/>
      <c r="EH236" s="108"/>
      <c r="EI236" s="108"/>
      <c r="EJ236" s="108"/>
      <c r="EK236" s="108"/>
      <c r="EL236" s="108"/>
      <c r="EM236" s="108"/>
      <c r="EN236" s="108"/>
      <c r="EO236" s="108"/>
      <c r="EP236" s="108"/>
      <c r="EQ236" s="108"/>
      <c r="ER236" s="108"/>
      <c r="ES236" s="108"/>
      <c r="ET236" s="108"/>
      <c r="EU236" s="108"/>
      <c r="EV236" s="108"/>
      <c r="EW236" s="108"/>
      <c r="EX236" s="108"/>
      <c r="EY236" s="108"/>
      <c r="EZ236" s="108"/>
      <c r="FA236" s="108"/>
      <c r="FB236" s="108"/>
      <c r="FC236" s="108"/>
      <c r="FD236" s="108"/>
      <c r="FE236" s="108"/>
      <c r="FF236" s="108"/>
      <c r="FG236" s="108"/>
      <c r="FH236" s="108"/>
      <c r="FI236" s="108"/>
      <c r="FJ236" s="108"/>
      <c r="FK236" s="108"/>
      <c r="FL236" s="108"/>
      <c r="FM236" s="108"/>
      <c r="FN236" s="108"/>
      <c r="FO236" s="108"/>
      <c r="FP236" s="108"/>
      <c r="FQ236" s="108"/>
      <c r="FR236" s="108"/>
      <c r="FS236" s="108"/>
      <c r="FT236" s="108"/>
      <c r="FU236" s="108"/>
      <c r="FV236" s="108"/>
      <c r="FW236" s="108"/>
      <c r="FX236" s="108"/>
      <c r="FY236" s="108"/>
      <c r="FZ236" s="108"/>
      <c r="GA236" s="108"/>
      <c r="GB236" s="108"/>
      <c r="GC236" s="108"/>
      <c r="GD236" s="108"/>
      <c r="GE236" s="108"/>
      <c r="GF236" s="108"/>
      <c r="GG236" s="108"/>
      <c r="GH236" s="108"/>
      <c r="GI236" s="108"/>
      <c r="GJ236" s="108"/>
      <c r="GK236" s="108"/>
      <c r="GL236" s="108"/>
      <c r="GM236" s="108"/>
      <c r="GN236" s="108"/>
      <c r="GO236" s="108"/>
      <c r="GP236" s="108"/>
      <c r="GQ236" s="108"/>
      <c r="GR236" s="108"/>
      <c r="GS236" s="108"/>
      <c r="GT236" s="108"/>
      <c r="GU236" s="108"/>
      <c r="GV236" s="108"/>
      <c r="GW236" s="108"/>
      <c r="GX236" s="108"/>
      <c r="GY236" s="108"/>
      <c r="GZ236" s="108"/>
      <c r="HA236" s="108"/>
      <c r="HB236" s="108"/>
      <c r="HC236" s="108"/>
      <c r="HD236" s="108"/>
      <c r="HE236" s="108"/>
      <c r="HF236" s="108"/>
      <c r="HG236" s="108"/>
      <c r="HH236" s="108"/>
      <c r="HI236" s="108"/>
      <c r="HJ236" s="108"/>
      <c r="HK236" s="108"/>
      <c r="HL236" s="108"/>
      <c r="HM236" s="108"/>
      <c r="HN236" s="108"/>
      <c r="HO236" s="108"/>
      <c r="HP236" s="108"/>
      <c r="HQ236" s="108"/>
      <c r="HR236" s="108"/>
      <c r="HS236" s="108"/>
      <c r="HT236" s="108"/>
      <c r="HU236" s="108"/>
      <c r="HV236" s="108"/>
      <c r="HW236" s="108"/>
      <c r="HX236" s="108"/>
      <c r="HY236" s="108"/>
      <c r="HZ236" s="108"/>
      <c r="IA236" s="108"/>
      <c r="IB236" s="108"/>
      <c r="IC236" s="108"/>
      <c r="ID236" s="108"/>
      <c r="IE236" s="108"/>
      <c r="IF236" s="108"/>
      <c r="IG236" s="108"/>
      <c r="IH236" s="108"/>
      <c r="II236" s="108"/>
      <c r="IJ236" s="108"/>
      <c r="IK236" s="108"/>
      <c r="IL236" s="108"/>
      <c r="IM236" s="108"/>
      <c r="IN236" s="108"/>
      <c r="IO236" s="108"/>
      <c r="IP236" s="108"/>
      <c r="IQ236" s="108"/>
      <c r="IR236" s="108"/>
      <c r="IS236" s="108"/>
      <c r="IT236" s="108"/>
      <c r="IU236" s="108"/>
      <c r="IV236" s="108"/>
    </row>
    <row r="237" spans="1:256" ht="12.75">
      <c r="A237" t="s">
        <v>209</v>
      </c>
      <c r="B237" s="5">
        <f>B170*$O$8*$S$5</f>
        <v>17.87183646231478</v>
      </c>
      <c r="C237" s="5">
        <f>C170*$O$8*$S$5</f>
        <v>13.158681133803128</v>
      </c>
      <c r="D237" s="5">
        <f>D170*$O$8*$S$5</f>
        <v>7.020827787675237</v>
      </c>
      <c r="E237" s="5">
        <f>E170*$O$8*$S$5</f>
        <v>1.5511865098721997</v>
      </c>
      <c r="F237" s="5">
        <f>F170*$O$8*$S$5</f>
        <v>-2.554062283073815</v>
      </c>
      <c r="G237" s="5">
        <f>G170*$O$8*$S$5</f>
        <v>-5.4133471565286575</v>
      </c>
      <c r="H237" s="5">
        <f>H170*$O$8*$S$5</f>
        <v>-7.347881882352091</v>
      </c>
      <c r="I237" s="5">
        <f>I170*$O$8*$S$5</f>
        <v>-8.627385564357867</v>
      </c>
      <c r="J237" s="5">
        <f>J170*$O$8*$S$5</f>
        <v>-9.420102852065819</v>
      </c>
      <c r="K237" s="5">
        <f>K170*$O$8*$S$5</f>
        <v>-9.812791752449256</v>
      </c>
      <c r="L237" s="5">
        <f>L170*$O$8*$S$5</f>
        <v>-9.844270158586921</v>
      </c>
      <c r="M237" s="5">
        <f>M170*$O$8*$S$5</f>
        <v>-9.534663352275407</v>
      </c>
      <c r="N237" s="5">
        <f>N170*$O$8*$S$5</f>
        <v>-8.904588686359157</v>
      </c>
      <c r="O237" s="5">
        <f>O170*$O$8*$S$5</f>
        <v>-7.98205687891191</v>
      </c>
      <c r="P237" s="5">
        <f>P170*$O$8*$S$5</f>
        <v>-6.797786850008805</v>
      </c>
      <c r="Q237" s="5">
        <f>Q170*$O$8*$S$5</f>
        <v>-5.372588782554057</v>
      </c>
      <c r="R237" s="5">
        <f>R170*$O$8*$S$5</f>
        <v>-3.701578296870878</v>
      </c>
      <c r="S237" s="5">
        <f>S170*$O$8*$S$5</f>
        <v>-1.738798847488159</v>
      </c>
      <c r="T237" s="5">
        <f>T170*$O$8*$S$5</f>
        <v>0.6150995608291132</v>
      </c>
      <c r="U237" s="5">
        <f>U170*$O$8*$S$5</f>
        <v>3.5143315484331765</v>
      </c>
      <c r="V237" s="5">
        <f>V170*$O$8*$S$5</f>
        <v>7.12775825861958</v>
      </c>
      <c r="W237" s="5">
        <f>W170*$O$8*$S$5</f>
        <v>11.466906404551862</v>
      </c>
      <c r="X237" s="5">
        <f>X170*$O$8*$S$5</f>
        <v>15.935903495193276</v>
      </c>
      <c r="Y237" s="5">
        <f>Y170*$O$8*$S$5</f>
        <v>18.7893721362792</v>
      </c>
      <c r="Z237" s="5">
        <f>Z170*$O$8*$S$5</f>
        <v>17.871836462314782</v>
      </c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  <c r="DP237" s="108"/>
      <c r="DQ237" s="108"/>
      <c r="DR237" s="108"/>
      <c r="DS237" s="108"/>
      <c r="DT237" s="108"/>
      <c r="DU237" s="108"/>
      <c r="DV237" s="108"/>
      <c r="DW237" s="108"/>
      <c r="DX237" s="108"/>
      <c r="DY237" s="108"/>
      <c r="DZ237" s="108"/>
      <c r="EA237" s="108"/>
      <c r="EB237" s="108"/>
      <c r="EC237" s="108"/>
      <c r="ED237" s="108"/>
      <c r="EE237" s="108"/>
      <c r="EF237" s="108"/>
      <c r="EG237" s="108"/>
      <c r="EH237" s="108"/>
      <c r="EI237" s="108"/>
      <c r="EJ237" s="108"/>
      <c r="EK237" s="108"/>
      <c r="EL237" s="108"/>
      <c r="EM237" s="108"/>
      <c r="EN237" s="108"/>
      <c r="EO237" s="108"/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108"/>
      <c r="FA237" s="108"/>
      <c r="FB237" s="108"/>
      <c r="FC237" s="108"/>
      <c r="FD237" s="108"/>
      <c r="FE237" s="108"/>
      <c r="FF237" s="108"/>
      <c r="FG237" s="108"/>
      <c r="FH237" s="108"/>
      <c r="FI237" s="108"/>
      <c r="FJ237" s="108"/>
      <c r="FK237" s="108"/>
      <c r="FL237" s="108"/>
      <c r="FM237" s="108"/>
      <c r="FN237" s="108"/>
      <c r="FO237" s="108"/>
      <c r="FP237" s="108"/>
      <c r="FQ237" s="108"/>
      <c r="FR237" s="108"/>
      <c r="FS237" s="108"/>
      <c r="FT237" s="108"/>
      <c r="FU237" s="108"/>
      <c r="FV237" s="108"/>
      <c r="FW237" s="108"/>
      <c r="FX237" s="108"/>
      <c r="FY237" s="108"/>
      <c r="FZ237" s="108"/>
      <c r="GA237" s="108"/>
      <c r="GB237" s="108"/>
      <c r="GC237" s="108"/>
      <c r="GD237" s="108"/>
      <c r="GE237" s="108"/>
      <c r="GF237" s="108"/>
      <c r="GG237" s="108"/>
      <c r="GH237" s="108"/>
      <c r="GI237" s="108"/>
      <c r="GJ237" s="108"/>
      <c r="GK237" s="108"/>
      <c r="GL237" s="108"/>
      <c r="GM237" s="108"/>
      <c r="GN237" s="108"/>
      <c r="GO237" s="108"/>
      <c r="GP237" s="108"/>
      <c r="GQ237" s="108"/>
      <c r="GR237" s="108"/>
      <c r="GS237" s="108"/>
      <c r="GT237" s="108"/>
      <c r="GU237" s="108"/>
      <c r="GV237" s="108"/>
      <c r="GW237" s="108"/>
      <c r="GX237" s="108"/>
      <c r="GY237" s="108"/>
      <c r="GZ237" s="108"/>
      <c r="HA237" s="108"/>
      <c r="HB237" s="108"/>
      <c r="HC237" s="108"/>
      <c r="HD237" s="108"/>
      <c r="HE237" s="108"/>
      <c r="HF237" s="108"/>
      <c r="HG237" s="108"/>
      <c r="HH237" s="108"/>
      <c r="HI237" s="108"/>
      <c r="HJ237" s="108"/>
      <c r="HK237" s="108"/>
      <c r="HL237" s="108"/>
      <c r="HM237" s="108"/>
      <c r="HN237" s="108"/>
      <c r="HO237" s="108"/>
      <c r="HP237" s="108"/>
      <c r="HQ237" s="108"/>
      <c r="HR237" s="108"/>
      <c r="HS237" s="108"/>
      <c r="HT237" s="108"/>
      <c r="HU237" s="108"/>
      <c r="HV237" s="108"/>
      <c r="HW237" s="108"/>
      <c r="HX237" s="108"/>
      <c r="HY237" s="108"/>
      <c r="HZ237" s="108"/>
      <c r="IA237" s="108"/>
      <c r="IB237" s="108"/>
      <c r="IC237" s="108"/>
      <c r="ID237" s="108"/>
      <c r="IE237" s="108"/>
      <c r="IF237" s="108"/>
      <c r="IG237" s="108"/>
      <c r="IH237" s="108"/>
      <c r="II237" s="108"/>
      <c r="IJ237" s="108"/>
      <c r="IK237" s="108"/>
      <c r="IL237" s="108"/>
      <c r="IM237" s="108"/>
      <c r="IN237" s="108"/>
      <c r="IO237" s="108"/>
      <c r="IP237" s="108"/>
      <c r="IQ237" s="108"/>
      <c r="IR237" s="108"/>
      <c r="IS237" s="108"/>
      <c r="IT237" s="108"/>
      <c r="IU237" s="108"/>
      <c r="IV237" s="108"/>
    </row>
    <row r="238" ht="12.75">
      <c r="B238" s="5"/>
    </row>
    <row r="239" spans="1:26" s="121" customFormat="1" ht="12.75">
      <c r="A239" s="39"/>
      <c r="B239" s="40"/>
      <c r="C239" s="78" t="s">
        <v>238</v>
      </c>
      <c r="D239" s="78"/>
      <c r="E239" s="78"/>
      <c r="F239" s="78"/>
      <c r="G239" s="78"/>
      <c r="H239" s="78"/>
      <c r="I239" s="78"/>
      <c r="J239" s="78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56" ht="12.75">
      <c r="A240" t="s">
        <v>194</v>
      </c>
      <c r="B240" s="5">
        <f>0.5*$O$9*(B176^2+B177^2)</f>
        <v>4.784977465178979</v>
      </c>
      <c r="C240" s="5">
        <f>0.5*$O$9*(C176^2+C177^2)</f>
        <v>2.801850947650727</v>
      </c>
      <c r="D240" s="5">
        <f>0.5*$O$9*(D176^2+D177^2)</f>
        <v>0.8741837179431715</v>
      </c>
      <c r="E240" s="5">
        <f>0.5*$O$9*(E176^2+E177^2)</f>
        <v>0.04474152119857603</v>
      </c>
      <c r="F240" s="5">
        <f>0.5*$O$9*(F176^2+F177^2)</f>
        <v>0.12041143687851243</v>
      </c>
      <c r="G240" s="5">
        <f>0.5*$O$9*(G176^2+G177^2)</f>
        <v>0.5169149790447557</v>
      </c>
      <c r="H240" s="5">
        <f>0.5*$O$9*(H176^2+H177^2)</f>
        <v>0.8958441946924267</v>
      </c>
      <c r="I240" s="5">
        <f>0.5*$O$9*(I176^2+I177^2)</f>
        <v>1.165785797747271</v>
      </c>
      <c r="J240" s="5">
        <f>0.5*$O$9*(J176^2+J177^2)</f>
        <v>1.3356417263284714</v>
      </c>
      <c r="K240" s="5">
        <f>0.5*$O$9*(K176^2+K177^2)</f>
        <v>1.4312921380237822</v>
      </c>
      <c r="L240" s="5">
        <f>0.5*$O$9*(L176^2+L177^2)</f>
        <v>1.4688240440192502</v>
      </c>
      <c r="M240" s="5">
        <f>0.5*$O$9*(M176^2+M177^2)</f>
        <v>1.4510451436430158</v>
      </c>
      <c r="N240" s="5">
        <f>0.5*$O$9*(N176^2+N177^2)</f>
        <v>1.3710900884045125</v>
      </c>
      <c r="O240" s="5">
        <f>0.5*$O$9*(O176^2+O177^2)</f>
        <v>1.2184747006853123</v>
      </c>
      <c r="P240" s="5">
        <f>0.5*$O$9*(P176^2+P177^2)</f>
        <v>0.9872514783588008</v>
      </c>
      <c r="Q240" s="5">
        <f>0.5*$O$9*(Q176^2+Q177^2)</f>
        <v>0.6870039432247306</v>
      </c>
      <c r="R240" s="5">
        <f>0.5*$O$9*(R176^2+R177^2)</f>
        <v>0.3571979890526817</v>
      </c>
      <c r="S240" s="5">
        <f>0.5*$O$9*(S176^2+S177^2)</f>
        <v>0.08364192308287113</v>
      </c>
      <c r="T240" s="5">
        <f>0.5*$O$9*(T176^2+T177^2)</f>
        <v>0.010608413733969714</v>
      </c>
      <c r="U240" s="5">
        <f>0.5*$O$9*(U176^2+U177^2)</f>
        <v>0.33126326105407405</v>
      </c>
      <c r="V240" s="5">
        <f>0.5*$O$9*(V176^2+V177^2)</f>
        <v>1.2240486887971478</v>
      </c>
      <c r="W240" s="5">
        <f>0.5*$O$9*(W176^2+W177^2)</f>
        <v>2.699441773739176</v>
      </c>
      <c r="X240" s="5">
        <f>0.5*$O$9*(X176^2+X177^2)</f>
        <v>4.374608619121532</v>
      </c>
      <c r="Y240" s="5">
        <f>0.5*$O$9*(Y176^2+Y177^2)</f>
        <v>5.371244834926188</v>
      </c>
      <c r="Z240" s="5">
        <f>0.5*$O$9*(Z176^2+Z177^2)</f>
        <v>4.784977465178984</v>
      </c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  <c r="DP240" s="108"/>
      <c r="DQ240" s="108"/>
      <c r="DR240" s="108"/>
      <c r="DS240" s="108"/>
      <c r="DT240" s="108"/>
      <c r="DU240" s="108"/>
      <c r="DV240" s="108"/>
      <c r="DW240" s="108"/>
      <c r="DX240" s="108"/>
      <c r="DY240" s="108"/>
      <c r="DZ240" s="108"/>
      <c r="EA240" s="108"/>
      <c r="EB240" s="108"/>
      <c r="EC240" s="108"/>
      <c r="ED240" s="108"/>
      <c r="EE240" s="108"/>
      <c r="EF240" s="108"/>
      <c r="EG240" s="108"/>
      <c r="EH240" s="108"/>
      <c r="EI240" s="108"/>
      <c r="EJ240" s="108"/>
      <c r="EK240" s="108"/>
      <c r="EL240" s="108"/>
      <c r="EM240" s="108"/>
      <c r="EN240" s="108"/>
      <c r="EO240" s="108"/>
      <c r="EP240" s="108"/>
      <c r="EQ240" s="108"/>
      <c r="ER240" s="108"/>
      <c r="ES240" s="108"/>
      <c r="ET240" s="108"/>
      <c r="EU240" s="108"/>
      <c r="EV240" s="108"/>
      <c r="EW240" s="108"/>
      <c r="EX240" s="108"/>
      <c r="EY240" s="108"/>
      <c r="EZ240" s="108"/>
      <c r="FA240" s="108"/>
      <c r="FB240" s="108"/>
      <c r="FC240" s="108"/>
      <c r="FD240" s="108"/>
      <c r="FE240" s="108"/>
      <c r="FF240" s="108"/>
      <c r="FG240" s="108"/>
      <c r="FH240" s="108"/>
      <c r="FI240" s="108"/>
      <c r="FJ240" s="108"/>
      <c r="FK240" s="108"/>
      <c r="FL240" s="108"/>
      <c r="FM240" s="108"/>
      <c r="FN240" s="108"/>
      <c r="FO240" s="108"/>
      <c r="FP240" s="108"/>
      <c r="FQ240" s="108"/>
      <c r="FR240" s="108"/>
      <c r="FS240" s="108"/>
      <c r="FT240" s="108"/>
      <c r="FU240" s="108"/>
      <c r="FV240" s="108"/>
      <c r="FW240" s="108"/>
      <c r="FX240" s="108"/>
      <c r="FY240" s="108"/>
      <c r="FZ240" s="108"/>
      <c r="GA240" s="108"/>
      <c r="GB240" s="108"/>
      <c r="GC240" s="108"/>
      <c r="GD240" s="108"/>
      <c r="GE240" s="108"/>
      <c r="GF240" s="108"/>
      <c r="GG240" s="108"/>
      <c r="GH240" s="108"/>
      <c r="GI240" s="108"/>
      <c r="GJ240" s="108"/>
      <c r="GK240" s="108"/>
      <c r="GL240" s="108"/>
      <c r="GM240" s="108"/>
      <c r="GN240" s="108"/>
      <c r="GO240" s="108"/>
      <c r="GP240" s="108"/>
      <c r="GQ240" s="108"/>
      <c r="GR240" s="108"/>
      <c r="GS240" s="108"/>
      <c r="GT240" s="108"/>
      <c r="GU240" s="108"/>
      <c r="GV240" s="108"/>
      <c r="GW240" s="108"/>
      <c r="GX240" s="108"/>
      <c r="GY240" s="108"/>
      <c r="GZ240" s="108"/>
      <c r="HA240" s="108"/>
      <c r="HB240" s="108"/>
      <c r="HC240" s="108"/>
      <c r="HD240" s="108"/>
      <c r="HE240" s="108"/>
      <c r="HF240" s="108"/>
      <c r="HG240" s="108"/>
      <c r="HH240" s="108"/>
      <c r="HI240" s="108"/>
      <c r="HJ240" s="108"/>
      <c r="HK240" s="108"/>
      <c r="HL240" s="108"/>
      <c r="HM240" s="108"/>
      <c r="HN240" s="108"/>
      <c r="HO240" s="108"/>
      <c r="HP240" s="108"/>
      <c r="HQ240" s="108"/>
      <c r="HR240" s="108"/>
      <c r="HS240" s="108"/>
      <c r="HT240" s="108"/>
      <c r="HU240" s="108"/>
      <c r="HV240" s="108"/>
      <c r="HW240" s="108"/>
      <c r="HX240" s="108"/>
      <c r="HY240" s="108"/>
      <c r="HZ240" s="108"/>
      <c r="IA240" s="108"/>
      <c r="IB240" s="108"/>
      <c r="IC240" s="108"/>
      <c r="ID240" s="108"/>
      <c r="IE240" s="108"/>
      <c r="IF240" s="108"/>
      <c r="IG240" s="108"/>
      <c r="IH240" s="108"/>
      <c r="II240" s="108"/>
      <c r="IJ240" s="108"/>
      <c r="IK240" s="108"/>
      <c r="IL240" s="108"/>
      <c r="IM240" s="108"/>
      <c r="IN240" s="108"/>
      <c r="IO240" s="108"/>
      <c r="IP240" s="108"/>
      <c r="IQ240" s="108"/>
      <c r="IR240" s="108"/>
      <c r="IS240" s="108"/>
      <c r="IT240" s="108"/>
      <c r="IU240" s="108"/>
      <c r="IV240" s="108"/>
    </row>
    <row r="241" spans="1:256" ht="12.75">
      <c r="A241" t="s">
        <v>195</v>
      </c>
      <c r="B241" s="5">
        <f>$O$9*B178</f>
        <v>-1.789529880059503</v>
      </c>
      <c r="C241" s="5">
        <f>$O$9*C178</f>
        <v>-3.5849136572407074</v>
      </c>
      <c r="D241" s="5">
        <f>$O$9*D178</f>
        <v>-4.132145121398191</v>
      </c>
      <c r="E241" s="5">
        <f>$O$9*E178</f>
        <v>-3.5181858855938652</v>
      </c>
      <c r="F241" s="5">
        <f>$O$9*F178</f>
        <v>-2.4810966288312066</v>
      </c>
      <c r="G241" s="5">
        <f>$O$9*G178</f>
        <v>-1.5651501136613513</v>
      </c>
      <c r="H241" s="5">
        <f>$O$9*H178</f>
        <v>-0.930183628330784</v>
      </c>
      <c r="I241" s="5">
        <f>$O$9*I178</f>
        <v>-0.5369218872843278</v>
      </c>
      <c r="J241" s="5">
        <f>$O$9*J178</f>
        <v>-0.300167843018566</v>
      </c>
      <c r="K241" s="5">
        <f>$O$9*K178</f>
        <v>-0.1463621256152645</v>
      </c>
      <c r="L241" s="5">
        <f>$O$9*L178</f>
        <v>-0.023057634970426785</v>
      </c>
      <c r="M241" s="5">
        <f>$O$9*M178</f>
        <v>0.105403721403185</v>
      </c>
      <c r="N241" s="5">
        <f>$O$9*N178</f>
        <v>0.26334367384841095</v>
      </c>
      <c r="O241" s="5">
        <f>$O$9*O178</f>
        <v>0.4675225830555155</v>
      </c>
      <c r="P241" s="5">
        <f>$O$9*P178</f>
        <v>0.7292322196567337</v>
      </c>
      <c r="Q241" s="5">
        <f>$O$9*Q178</f>
        <v>1.05475398912602</v>
      </c>
      <c r="R241" s="5">
        <f>$O$9*R178</f>
        <v>1.4435053553349533</v>
      </c>
      <c r="S241" s="5">
        <f>$O$9*S178</f>
        <v>1.8825790304592165</v>
      </c>
      <c r="T241" s="5">
        <f>$O$9*T178</f>
        <v>2.336349453727906</v>
      </c>
      <c r="U241" s="5">
        <f>$O$9*U178</f>
        <v>2.7309001513545907</v>
      </c>
      <c r="V241" s="5">
        <f>$O$9*V178</f>
        <v>2.936156733069541</v>
      </c>
      <c r="W241" s="5">
        <f>$O$9*W178</f>
        <v>2.755496449682529</v>
      </c>
      <c r="X241" s="5">
        <f>$O$9*X178</f>
        <v>1.9485089897936725</v>
      </c>
      <c r="Y241" s="5">
        <f>$O$9*Y178</f>
        <v>0.35396206547864095</v>
      </c>
      <c r="Z241" s="5">
        <f>$O$9*Z178</f>
        <v>-1.7895298800595032</v>
      </c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  <c r="DJ241" s="108"/>
      <c r="DK241" s="108"/>
      <c r="DL241" s="108"/>
      <c r="DM241" s="108"/>
      <c r="DN241" s="108"/>
      <c r="DO241" s="108"/>
      <c r="DP241" s="108"/>
      <c r="DQ241" s="108"/>
      <c r="DR241" s="108"/>
      <c r="DS241" s="108"/>
      <c r="DT241" s="108"/>
      <c r="DU241" s="108"/>
      <c r="DV241" s="108"/>
      <c r="DW241" s="108"/>
      <c r="DX241" s="108"/>
      <c r="DY241" s="108"/>
      <c r="DZ241" s="108"/>
      <c r="EA241" s="108"/>
      <c r="EB241" s="108"/>
      <c r="EC241" s="108"/>
      <c r="ED241" s="108"/>
      <c r="EE241" s="108"/>
      <c r="EF241" s="108"/>
      <c r="EG241" s="108"/>
      <c r="EH241" s="108"/>
      <c r="EI241" s="108"/>
      <c r="EJ241" s="108"/>
      <c r="EK241" s="108"/>
      <c r="EL241" s="108"/>
      <c r="EM241" s="108"/>
      <c r="EN241" s="108"/>
      <c r="EO241" s="108"/>
      <c r="EP241" s="108"/>
      <c r="EQ241" s="108"/>
      <c r="ER241" s="108"/>
      <c r="ES241" s="108"/>
      <c r="ET241" s="108"/>
      <c r="EU241" s="108"/>
      <c r="EV241" s="108"/>
      <c r="EW241" s="108"/>
      <c r="EX241" s="108"/>
      <c r="EY241" s="108"/>
      <c r="EZ241" s="108"/>
      <c r="FA241" s="108"/>
      <c r="FB241" s="108"/>
      <c r="FC241" s="108"/>
      <c r="FD241" s="108"/>
      <c r="FE241" s="108"/>
      <c r="FF241" s="108"/>
      <c r="FG241" s="108"/>
      <c r="FH241" s="108"/>
      <c r="FI241" s="108"/>
      <c r="FJ241" s="108"/>
      <c r="FK241" s="108"/>
      <c r="FL241" s="108"/>
      <c r="FM241" s="108"/>
      <c r="FN241" s="108"/>
      <c r="FO241" s="108"/>
      <c r="FP241" s="108"/>
      <c r="FQ241" s="108"/>
      <c r="FR241" s="108"/>
      <c r="FS241" s="108"/>
      <c r="FT241" s="108"/>
      <c r="FU241" s="108"/>
      <c r="FV241" s="108"/>
      <c r="FW241" s="108"/>
      <c r="FX241" s="108"/>
      <c r="FY241" s="108"/>
      <c r="FZ241" s="108"/>
      <c r="GA241" s="108"/>
      <c r="GB241" s="108"/>
      <c r="GC241" s="108"/>
      <c r="GD241" s="108"/>
      <c r="GE241" s="108"/>
      <c r="GF241" s="108"/>
      <c r="GG241" s="108"/>
      <c r="GH241" s="108"/>
      <c r="GI241" s="108"/>
      <c r="GJ241" s="108"/>
      <c r="GK241" s="108"/>
      <c r="GL241" s="108"/>
      <c r="GM241" s="108"/>
      <c r="GN241" s="108"/>
      <c r="GO241" s="108"/>
      <c r="GP241" s="108"/>
      <c r="GQ241" s="108"/>
      <c r="GR241" s="108"/>
      <c r="GS241" s="108"/>
      <c r="GT241" s="108"/>
      <c r="GU241" s="108"/>
      <c r="GV241" s="108"/>
      <c r="GW241" s="108"/>
      <c r="GX241" s="108"/>
      <c r="GY241" s="108"/>
      <c r="GZ241" s="108"/>
      <c r="HA241" s="108"/>
      <c r="HB241" s="108"/>
      <c r="HC241" s="108"/>
      <c r="HD241" s="108"/>
      <c r="HE241" s="108"/>
      <c r="HF241" s="108"/>
      <c r="HG241" s="108"/>
      <c r="HH241" s="108"/>
      <c r="HI241" s="108"/>
      <c r="HJ241" s="108"/>
      <c r="HK241" s="108"/>
      <c r="HL241" s="108"/>
      <c r="HM241" s="108"/>
      <c r="HN241" s="108"/>
      <c r="HO241" s="108"/>
      <c r="HP241" s="108"/>
      <c r="HQ241" s="108"/>
      <c r="HR241" s="108"/>
      <c r="HS241" s="108"/>
      <c r="HT241" s="108"/>
      <c r="HU241" s="108"/>
      <c r="HV241" s="108"/>
      <c r="HW241" s="108"/>
      <c r="HX241" s="108"/>
      <c r="HY241" s="108"/>
      <c r="HZ241" s="108"/>
      <c r="IA241" s="108"/>
      <c r="IB241" s="108"/>
      <c r="IC241" s="108"/>
      <c r="ID241" s="108"/>
      <c r="IE241" s="108"/>
      <c r="IF241" s="108"/>
      <c r="IG241" s="108"/>
      <c r="IH241" s="108"/>
      <c r="II241" s="108"/>
      <c r="IJ241" s="108"/>
      <c r="IK241" s="108"/>
      <c r="IL241" s="108"/>
      <c r="IM241" s="108"/>
      <c r="IN241" s="108"/>
      <c r="IO241" s="108"/>
      <c r="IP241" s="108"/>
      <c r="IQ241" s="108"/>
      <c r="IR241" s="108"/>
      <c r="IS241" s="108"/>
      <c r="IT241" s="108"/>
      <c r="IU241" s="108"/>
      <c r="IV241" s="108"/>
    </row>
    <row r="242" spans="1:256" ht="12.75">
      <c r="A242" t="s">
        <v>196</v>
      </c>
      <c r="B242" s="5">
        <f>$O$9*B179</f>
        <v>-0.156563577546113</v>
      </c>
      <c r="C242" s="5">
        <f>$O$9*C179</f>
        <v>-0.3136393047278219</v>
      </c>
      <c r="D242" s="5">
        <f>$O$9*D179</f>
        <v>-0.3615158541662947</v>
      </c>
      <c r="E242" s="5">
        <f>$O$9*E179</f>
        <v>-0.3078013811663767</v>
      </c>
      <c r="F242" s="5">
        <f>$O$9*F179</f>
        <v>-0.2170678281351178</v>
      </c>
      <c r="G242" s="5">
        <f>$O$9*G179</f>
        <v>-0.13693289166167968</v>
      </c>
      <c r="H242" s="5">
        <f>$O$9*H179</f>
        <v>-0.08138052247635512</v>
      </c>
      <c r="I242" s="5">
        <f>$O$9*I179</f>
        <v>-0.046974578336322646</v>
      </c>
      <c r="J242" s="5">
        <f>$O$9*J179</f>
        <v>-0.0262612834191537</v>
      </c>
      <c r="K242" s="5">
        <f>$O$9*K179</f>
        <v>-0.012805026760892898</v>
      </c>
      <c r="L242" s="5">
        <f>$O$9*L179</f>
        <v>-0.0020172816676312477</v>
      </c>
      <c r="M242" s="5">
        <f>$O$9*M179</f>
        <v>0.009221630716223488</v>
      </c>
      <c r="N242" s="5">
        <f>$O$9*N179</f>
        <v>0.023039586073004298</v>
      </c>
      <c r="O242" s="5">
        <f>$O$9*O179</f>
        <v>0.040902925959714856</v>
      </c>
      <c r="P242" s="5">
        <f>$O$9*P179</f>
        <v>0.06379955229781067</v>
      </c>
      <c r="Q242" s="5">
        <f>$O$9*Q179</f>
        <v>0.09227901685727248</v>
      </c>
      <c r="R242" s="5">
        <f>$O$9*R179</f>
        <v>0.1262903543307691</v>
      </c>
      <c r="S242" s="5">
        <f>$O$9*S179</f>
        <v>0.16470432335680663</v>
      </c>
      <c r="T242" s="5">
        <f>$O$9*T179</f>
        <v>0.20440409123617714</v>
      </c>
      <c r="U242" s="5">
        <f>$O$9*U179</f>
        <v>0.23892280446475672</v>
      </c>
      <c r="V242" s="5">
        <f>$O$9*V179</f>
        <v>0.25688042847889736</v>
      </c>
      <c r="W242" s="5">
        <f>$O$9*W179</f>
        <v>0.24107470173315296</v>
      </c>
      <c r="X242" s="5">
        <f>$O$9*X179</f>
        <v>0.1704724473852967</v>
      </c>
      <c r="Y242" s="5">
        <f>$O$9*Y179</f>
        <v>0.0309676680476019</v>
      </c>
      <c r="Z242" s="5">
        <f>$O$9*Z179</f>
        <v>-0.15656357754611303</v>
      </c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  <c r="DP242" s="108"/>
      <c r="DQ242" s="108"/>
      <c r="DR242" s="108"/>
      <c r="DS242" s="108"/>
      <c r="DT242" s="108"/>
      <c r="DU242" s="108"/>
      <c r="DV242" s="108"/>
      <c r="DW242" s="108"/>
      <c r="DX242" s="108"/>
      <c r="DY242" s="108"/>
      <c r="DZ242" s="108"/>
      <c r="EA242" s="108"/>
      <c r="EB242" s="108"/>
      <c r="EC242" s="108"/>
      <c r="ED242" s="108"/>
      <c r="EE242" s="108"/>
      <c r="EF242" s="108"/>
      <c r="EG242" s="108"/>
      <c r="EH242" s="108"/>
      <c r="EI242" s="108"/>
      <c r="EJ242" s="108"/>
      <c r="EK242" s="108"/>
      <c r="EL242" s="108"/>
      <c r="EM242" s="108"/>
      <c r="EN242" s="108"/>
      <c r="EO242" s="108"/>
      <c r="EP242" s="108"/>
      <c r="EQ242" s="108"/>
      <c r="ER242" s="108"/>
      <c r="ES242" s="108"/>
      <c r="ET242" s="108"/>
      <c r="EU242" s="108"/>
      <c r="EV242" s="108"/>
      <c r="EW242" s="108"/>
      <c r="EX242" s="108"/>
      <c r="EY242" s="108"/>
      <c r="EZ242" s="108"/>
      <c r="FA242" s="108"/>
      <c r="FB242" s="108"/>
      <c r="FC242" s="108"/>
      <c r="FD242" s="108"/>
      <c r="FE242" s="108"/>
      <c r="FF242" s="108"/>
      <c r="FG242" s="108"/>
      <c r="FH242" s="108"/>
      <c r="FI242" s="108"/>
      <c r="FJ242" s="108"/>
      <c r="FK242" s="108"/>
      <c r="FL242" s="108"/>
      <c r="FM242" s="108"/>
      <c r="FN242" s="108"/>
      <c r="FO242" s="108"/>
      <c r="FP242" s="108"/>
      <c r="FQ242" s="108"/>
      <c r="FR242" s="108"/>
      <c r="FS242" s="108"/>
      <c r="FT242" s="108"/>
      <c r="FU242" s="108"/>
      <c r="FV242" s="108"/>
      <c r="FW242" s="108"/>
      <c r="FX242" s="108"/>
      <c r="FY242" s="108"/>
      <c r="FZ242" s="108"/>
      <c r="GA242" s="108"/>
      <c r="GB242" s="108"/>
      <c r="GC242" s="108"/>
      <c r="GD242" s="108"/>
      <c r="GE242" s="108"/>
      <c r="GF242" s="108"/>
      <c r="GG242" s="108"/>
      <c r="GH242" s="108"/>
      <c r="GI242" s="108"/>
      <c r="GJ242" s="108"/>
      <c r="GK242" s="108"/>
      <c r="GL242" s="108"/>
      <c r="GM242" s="108"/>
      <c r="GN242" s="108"/>
      <c r="GO242" s="108"/>
      <c r="GP242" s="108"/>
      <c r="GQ242" s="108"/>
      <c r="GR242" s="108"/>
      <c r="GS242" s="108"/>
      <c r="GT242" s="108"/>
      <c r="GU242" s="108"/>
      <c r="GV242" s="108"/>
      <c r="GW242" s="108"/>
      <c r="GX242" s="108"/>
      <c r="GY242" s="108"/>
      <c r="GZ242" s="108"/>
      <c r="HA242" s="108"/>
      <c r="HB242" s="108"/>
      <c r="HC242" s="108"/>
      <c r="HD242" s="108"/>
      <c r="HE242" s="108"/>
      <c r="HF242" s="108"/>
      <c r="HG242" s="108"/>
      <c r="HH242" s="108"/>
      <c r="HI242" s="108"/>
      <c r="HJ242" s="108"/>
      <c r="HK242" s="108"/>
      <c r="HL242" s="108"/>
      <c r="HM242" s="108"/>
      <c r="HN242" s="108"/>
      <c r="HO242" s="108"/>
      <c r="HP242" s="108"/>
      <c r="HQ242" s="108"/>
      <c r="HR242" s="108"/>
      <c r="HS242" s="108"/>
      <c r="HT242" s="108"/>
      <c r="HU242" s="108"/>
      <c r="HV242" s="108"/>
      <c r="HW242" s="108"/>
      <c r="HX242" s="108"/>
      <c r="HY242" s="108"/>
      <c r="HZ242" s="108"/>
      <c r="IA242" s="108"/>
      <c r="IB242" s="108"/>
      <c r="IC242" s="108"/>
      <c r="ID242" s="108"/>
      <c r="IE242" s="108"/>
      <c r="IF242" s="108"/>
      <c r="IG242" s="108"/>
      <c r="IH242" s="108"/>
      <c r="II242" s="108"/>
      <c r="IJ242" s="108"/>
      <c r="IK242" s="108"/>
      <c r="IL242" s="108"/>
      <c r="IM242" s="108"/>
      <c r="IN242" s="108"/>
      <c r="IO242" s="108"/>
      <c r="IP242" s="108"/>
      <c r="IQ242" s="108"/>
      <c r="IR242" s="108"/>
      <c r="IS242" s="108"/>
      <c r="IT242" s="108"/>
      <c r="IU242" s="108"/>
      <c r="IV242" s="108"/>
    </row>
    <row r="243" spans="1:256" ht="12.75">
      <c r="A243" t="s">
        <v>197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  <c r="DJ243" s="108"/>
      <c r="DK243" s="108"/>
      <c r="DL243" s="108"/>
      <c r="DM243" s="108"/>
      <c r="DN243" s="108"/>
      <c r="DO243" s="108"/>
      <c r="DP243" s="108"/>
      <c r="DQ243" s="108"/>
      <c r="DR243" s="108"/>
      <c r="DS243" s="108"/>
      <c r="DT243" s="108"/>
      <c r="DU243" s="108"/>
      <c r="DV243" s="108"/>
      <c r="DW243" s="108"/>
      <c r="DX243" s="108"/>
      <c r="DY243" s="108"/>
      <c r="DZ243" s="108"/>
      <c r="EA243" s="108"/>
      <c r="EB243" s="108"/>
      <c r="EC243" s="108"/>
      <c r="ED243" s="108"/>
      <c r="EE243" s="108"/>
      <c r="EF243" s="108"/>
      <c r="EG243" s="108"/>
      <c r="EH243" s="108"/>
      <c r="EI243" s="108"/>
      <c r="EJ243" s="108"/>
      <c r="EK243" s="108"/>
      <c r="EL243" s="108"/>
      <c r="EM243" s="108"/>
      <c r="EN243" s="108"/>
      <c r="EO243" s="108"/>
      <c r="EP243" s="108"/>
      <c r="EQ243" s="108"/>
      <c r="ER243" s="108"/>
      <c r="ES243" s="108"/>
      <c r="ET243" s="108"/>
      <c r="EU243" s="108"/>
      <c r="EV243" s="108"/>
      <c r="EW243" s="108"/>
      <c r="EX243" s="108"/>
      <c r="EY243" s="108"/>
      <c r="EZ243" s="108"/>
      <c r="FA243" s="108"/>
      <c r="FB243" s="108"/>
      <c r="FC243" s="108"/>
      <c r="FD243" s="108"/>
      <c r="FE243" s="108"/>
      <c r="FF243" s="108"/>
      <c r="FG243" s="108"/>
      <c r="FH243" s="108"/>
      <c r="FI243" s="108"/>
      <c r="FJ243" s="108"/>
      <c r="FK243" s="108"/>
      <c r="FL243" s="108"/>
      <c r="FM243" s="108"/>
      <c r="FN243" s="108"/>
      <c r="FO243" s="108"/>
      <c r="FP243" s="108"/>
      <c r="FQ243" s="108"/>
      <c r="FR243" s="108"/>
      <c r="FS243" s="108"/>
      <c r="FT243" s="108"/>
      <c r="FU243" s="108"/>
      <c r="FV243" s="108"/>
      <c r="FW243" s="108"/>
      <c r="FX243" s="108"/>
      <c r="FY243" s="108"/>
      <c r="FZ243" s="108"/>
      <c r="GA243" s="108"/>
      <c r="GB243" s="108"/>
      <c r="GC243" s="108"/>
      <c r="GD243" s="108"/>
      <c r="GE243" s="108"/>
      <c r="GF243" s="108"/>
      <c r="GG243" s="108"/>
      <c r="GH243" s="108"/>
      <c r="GI243" s="108"/>
      <c r="GJ243" s="108"/>
      <c r="GK243" s="108"/>
      <c r="GL243" s="108"/>
      <c r="GM243" s="108"/>
      <c r="GN243" s="108"/>
      <c r="GO243" s="108"/>
      <c r="GP243" s="108"/>
      <c r="GQ243" s="108"/>
      <c r="GR243" s="108"/>
      <c r="GS243" s="108"/>
      <c r="GT243" s="108"/>
      <c r="GU243" s="108"/>
      <c r="GV243" s="108"/>
      <c r="GW243" s="108"/>
      <c r="GX243" s="108"/>
      <c r="GY243" s="108"/>
      <c r="GZ243" s="108"/>
      <c r="HA243" s="108"/>
      <c r="HB243" s="108"/>
      <c r="HC243" s="108"/>
      <c r="HD243" s="108"/>
      <c r="HE243" s="108"/>
      <c r="HF243" s="108"/>
      <c r="HG243" s="108"/>
      <c r="HH243" s="108"/>
      <c r="HI243" s="108"/>
      <c r="HJ243" s="108"/>
      <c r="HK243" s="108"/>
      <c r="HL243" s="108"/>
      <c r="HM243" s="108"/>
      <c r="HN243" s="108"/>
      <c r="HO243" s="108"/>
      <c r="HP243" s="108"/>
      <c r="HQ243" s="108"/>
      <c r="HR243" s="108"/>
      <c r="HS243" s="108"/>
      <c r="HT243" s="108"/>
      <c r="HU243" s="108"/>
      <c r="HV243" s="108"/>
      <c r="HW243" s="108"/>
      <c r="HX243" s="108"/>
      <c r="HY243" s="108"/>
      <c r="HZ243" s="108"/>
      <c r="IA243" s="108"/>
      <c r="IB243" s="108"/>
      <c r="IC243" s="108"/>
      <c r="ID243" s="108"/>
      <c r="IE243" s="108"/>
      <c r="IF243" s="108"/>
      <c r="IG243" s="108"/>
      <c r="IH243" s="108"/>
      <c r="II243" s="108"/>
      <c r="IJ243" s="108"/>
      <c r="IK243" s="108"/>
      <c r="IL243" s="108"/>
      <c r="IM243" s="108"/>
      <c r="IN243" s="108"/>
      <c r="IO243" s="108"/>
      <c r="IP243" s="108"/>
      <c r="IQ243" s="108"/>
      <c r="IR243" s="108"/>
      <c r="IS243" s="108"/>
      <c r="IT243" s="108"/>
      <c r="IU243" s="108"/>
      <c r="IV243" s="108"/>
    </row>
    <row r="244" spans="1:256" ht="12.75">
      <c r="A244" t="s">
        <v>210</v>
      </c>
      <c r="B244" s="5">
        <f>B241*B176+B242*B177</f>
        <v>-5.557118713803814</v>
      </c>
      <c r="C244" s="5">
        <f>C241*C176+C242*C177</f>
        <v>-8.518673752194527</v>
      </c>
      <c r="D244" s="5">
        <f>D241*D176+D242*D177</f>
        <v>-5.484634536303543</v>
      </c>
      <c r="E244" s="5">
        <f>E241*E176+E242*E177</f>
        <v>-1.0564402193495452</v>
      </c>
      <c r="F244" s="5">
        <f>F241*F176+F242*F177</f>
        <v>1.2222169994646084</v>
      </c>
      <c r="G244" s="5">
        <f>G241*G176+G242*G177</f>
        <v>1.5974833028106694</v>
      </c>
      <c r="H244" s="5">
        <f>H241*H176+H242*H177</f>
        <v>1.2498436990950514</v>
      </c>
      <c r="I244" s="5">
        <f>I241*I176+I242*I177</f>
        <v>0.822983749859317</v>
      </c>
      <c r="J244" s="5">
        <f>J241*J176+J242*J177</f>
        <v>0.4924701653574995</v>
      </c>
      <c r="K244" s="5">
        <f>K241*K176+K242*K177</f>
        <v>0.248578534214113</v>
      </c>
      <c r="L244" s="5">
        <f>L241*L176+L242*L177</f>
        <v>0.03967075061481775</v>
      </c>
      <c r="M244" s="5">
        <f>M241*M176+M242*M177</f>
        <v>-0.18024664022054662</v>
      </c>
      <c r="N244" s="5">
        <f>N241*N176+N242*N177</f>
        <v>-0.4377505067453593</v>
      </c>
      <c r="O244" s="5">
        <f>O241*O176+O242*O177</f>
        <v>-0.7326248132790097</v>
      </c>
      <c r="P244" s="5">
        <f>P241*P176+P242*P177</f>
        <v>-1.028609466776356</v>
      </c>
      <c r="Q244" s="5">
        <f>Q241*Q176+Q242*Q177</f>
        <v>-1.2410851046410818</v>
      </c>
      <c r="R244" s="5">
        <f>R241*R176+R242*R177</f>
        <v>-1.2247393562810704</v>
      </c>
      <c r="S244" s="5">
        <f>S241*S176+S242*S177</f>
        <v>-0.7729225774724965</v>
      </c>
      <c r="T244" s="5">
        <f>T241*T176+T242*T177</f>
        <v>0.34161253504339034</v>
      </c>
      <c r="U244" s="5">
        <f>U241*U176+U242*U177</f>
        <v>2.231327047034662</v>
      </c>
      <c r="V244" s="5">
        <f>V241*V176+V242*V177</f>
        <v>4.611575815829126</v>
      </c>
      <c r="W244" s="5">
        <f>W241*W176+W242*W177</f>
        <v>6.426989786584284</v>
      </c>
      <c r="X244" s="5">
        <f>X241*X176+X242*X177</f>
        <v>5.785525176129473</v>
      </c>
      <c r="Y244" s="5">
        <f>Y241*Y176+Y242*Y177</f>
        <v>1.1645683074018836</v>
      </c>
      <c r="Z244" s="5">
        <f>Z241*Z176+Z242*Z177</f>
        <v>-5.557118713803817</v>
      </c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8"/>
      <c r="ER244" s="108"/>
      <c r="ES244" s="108"/>
      <c r="ET244" s="108"/>
      <c r="EU244" s="108"/>
      <c r="EV244" s="108"/>
      <c r="EW244" s="108"/>
      <c r="EX244" s="108"/>
      <c r="EY244" s="108"/>
      <c r="EZ244" s="108"/>
      <c r="FA244" s="108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8"/>
      <c r="FS244" s="108"/>
      <c r="FT244" s="108"/>
      <c r="FU244" s="108"/>
      <c r="FV244" s="108"/>
      <c r="FW244" s="108"/>
      <c r="FX244" s="108"/>
      <c r="FY244" s="108"/>
      <c r="FZ244" s="108"/>
      <c r="GA244" s="108"/>
      <c r="GB244" s="108"/>
      <c r="GC244" s="108"/>
      <c r="GD244" s="108"/>
      <c r="GE244" s="108"/>
      <c r="GF244" s="108"/>
      <c r="GG244" s="108"/>
      <c r="GH244" s="108"/>
      <c r="GI244" s="108"/>
      <c r="GJ244" s="108"/>
      <c r="GK244" s="108"/>
      <c r="GL244" s="108"/>
      <c r="GM244" s="108"/>
      <c r="GN244" s="108"/>
      <c r="GO244" s="108"/>
      <c r="GP244" s="108"/>
      <c r="GQ244" s="108"/>
      <c r="GR244" s="108"/>
      <c r="GS244" s="108"/>
      <c r="GT244" s="108"/>
      <c r="GU244" s="108"/>
      <c r="GV244" s="108"/>
      <c r="GW244" s="108"/>
      <c r="GX244" s="108"/>
      <c r="GY244" s="108"/>
      <c r="GZ244" s="108"/>
      <c r="HA244" s="108"/>
      <c r="HB244" s="108"/>
      <c r="HC244" s="108"/>
      <c r="HD244" s="108"/>
      <c r="HE244" s="108"/>
      <c r="HF244" s="108"/>
      <c r="HG244" s="108"/>
      <c r="HH244" s="108"/>
      <c r="HI244" s="108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  <c r="IP244" s="108"/>
      <c r="IQ244" s="108"/>
      <c r="IR244" s="108"/>
      <c r="IS244" s="108"/>
      <c r="IT244" s="108"/>
      <c r="IU244" s="108"/>
      <c r="IV244" s="108"/>
    </row>
    <row r="245" spans="1:256" ht="12.75">
      <c r="A245" t="s">
        <v>211</v>
      </c>
      <c r="B245" s="5">
        <f>B177*$O$9*$S$5</f>
        <v>2.6961928618334725</v>
      </c>
      <c r="C245" s="5">
        <f>C177*$O$9*$S$5</f>
        <v>2.063162902431332</v>
      </c>
      <c r="D245" s="5">
        <f>D177*$O$9*$S$5</f>
        <v>1.1524241821351593</v>
      </c>
      <c r="E245" s="5">
        <f>E177*$O$9*$S$5</f>
        <v>0.26071521640638773</v>
      </c>
      <c r="F245" s="5">
        <f>F177*$O$9*$S$5</f>
        <v>-0.4277055399703492</v>
      </c>
      <c r="G245" s="5">
        <f>G177*$O$9*$S$5</f>
        <v>-0.8861771850672542</v>
      </c>
      <c r="H245" s="5">
        <f>H177*$O$9*$S$5</f>
        <v>-1.1666141722243442</v>
      </c>
      <c r="I245" s="5">
        <f>I177*$O$9*$S$5</f>
        <v>-1.3308232705448386</v>
      </c>
      <c r="J245" s="5">
        <f>J177*$O$9*$S$5</f>
        <v>-1.4244788167460742</v>
      </c>
      <c r="K245" s="5">
        <f>K177*$O$9*$S$5</f>
        <v>-1.4746031219464475</v>
      </c>
      <c r="L245" s="5">
        <f>L177*$O$9*$S$5</f>
        <v>-1.4938118241046237</v>
      </c>
      <c r="M245" s="5">
        <f>M177*$O$9*$S$5</f>
        <v>-1.4847436213926204</v>
      </c>
      <c r="N245" s="5">
        <f>N177*$O$9*$S$5</f>
        <v>-1.4432580942282929</v>
      </c>
      <c r="O245" s="5">
        <f>O177*$O$9*$S$5</f>
        <v>-1.3605649047798907</v>
      </c>
      <c r="P245" s="5">
        <f>P177*$O$9*$S$5</f>
        <v>-1.2246864210192596</v>
      </c>
      <c r="Q245" s="5">
        <f>Q177*$O$9*$S$5</f>
        <v>-1.0216229043564509</v>
      </c>
      <c r="R245" s="5">
        <f>R177*$O$9*$S$5</f>
        <v>-0.7366573201449194</v>
      </c>
      <c r="S245" s="5">
        <f>S177*$O$9*$S$5</f>
        <v>-0.3564700203395616</v>
      </c>
      <c r="T245" s="5">
        <f>T177*$O$9*$S$5</f>
        <v>0.12695103055712154</v>
      </c>
      <c r="U245" s="5">
        <f>U177*$O$9*$S$5</f>
        <v>0.7094105496759189</v>
      </c>
      <c r="V245" s="5">
        <f>V177*$O$9*$S$5</f>
        <v>1.3636733481772365</v>
      </c>
      <c r="W245" s="5">
        <f>W177*$O$9*$S$5</f>
        <v>2.0251070627452945</v>
      </c>
      <c r="X245" s="5">
        <f>X177*$O$9*$S$5</f>
        <v>2.577986319137822</v>
      </c>
      <c r="Y245" s="5">
        <f>Y177*$O$9*$S$5</f>
        <v>2.8565937436762057</v>
      </c>
      <c r="Z245" s="5">
        <f>Z177*$O$9*$S$5</f>
        <v>2.696192861833473</v>
      </c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  <c r="DQ245" s="108"/>
      <c r="DR245" s="108"/>
      <c r="DS245" s="108"/>
      <c r="DT245" s="108"/>
      <c r="DU245" s="108"/>
      <c r="DV245" s="108"/>
      <c r="DW245" s="108"/>
      <c r="DX245" s="108"/>
      <c r="DY245" s="108"/>
      <c r="DZ245" s="108"/>
      <c r="EA245" s="108"/>
      <c r="EB245" s="108"/>
      <c r="EC245" s="108"/>
      <c r="ED245" s="108"/>
      <c r="EE245" s="108"/>
      <c r="EF245" s="108"/>
      <c r="EG245" s="108"/>
      <c r="EH245" s="108"/>
      <c r="EI245" s="108"/>
      <c r="EJ245" s="108"/>
      <c r="EK245" s="108"/>
      <c r="EL245" s="108"/>
      <c r="EM245" s="108"/>
      <c r="EN245" s="108"/>
      <c r="EO245" s="108"/>
      <c r="EP245" s="108"/>
      <c r="EQ245" s="108"/>
      <c r="ER245" s="108"/>
      <c r="ES245" s="108"/>
      <c r="ET245" s="108"/>
      <c r="EU245" s="108"/>
      <c r="EV245" s="108"/>
      <c r="EW245" s="108"/>
      <c r="EX245" s="108"/>
      <c r="EY245" s="108"/>
      <c r="EZ245" s="108"/>
      <c r="FA245" s="108"/>
      <c r="FB245" s="108"/>
      <c r="FC245" s="108"/>
      <c r="FD245" s="108"/>
      <c r="FE245" s="108"/>
      <c r="FF245" s="108"/>
      <c r="FG245" s="108"/>
      <c r="FH245" s="108"/>
      <c r="FI245" s="108"/>
      <c r="FJ245" s="108"/>
      <c r="FK245" s="108"/>
      <c r="FL245" s="108"/>
      <c r="FM245" s="108"/>
      <c r="FN245" s="108"/>
      <c r="FO245" s="108"/>
      <c r="FP245" s="108"/>
      <c r="FQ245" s="108"/>
      <c r="FR245" s="108"/>
      <c r="FS245" s="108"/>
      <c r="FT245" s="108"/>
      <c r="FU245" s="108"/>
      <c r="FV245" s="108"/>
      <c r="FW245" s="108"/>
      <c r="FX245" s="108"/>
      <c r="FY245" s="108"/>
      <c r="FZ245" s="108"/>
      <c r="GA245" s="108"/>
      <c r="GB245" s="108"/>
      <c r="GC245" s="108"/>
      <c r="GD245" s="108"/>
      <c r="GE245" s="108"/>
      <c r="GF245" s="108"/>
      <c r="GG245" s="108"/>
      <c r="GH245" s="108"/>
      <c r="GI245" s="108"/>
      <c r="GJ245" s="108"/>
      <c r="GK245" s="108"/>
      <c r="GL245" s="108"/>
      <c r="GM245" s="108"/>
      <c r="GN245" s="108"/>
      <c r="GO245" s="108"/>
      <c r="GP245" s="108"/>
      <c r="GQ245" s="108"/>
      <c r="GR245" s="108"/>
      <c r="GS245" s="108"/>
      <c r="GT245" s="108"/>
      <c r="GU245" s="108"/>
      <c r="GV245" s="108"/>
      <c r="GW245" s="108"/>
      <c r="GX245" s="108"/>
      <c r="GY245" s="108"/>
      <c r="GZ245" s="108"/>
      <c r="HA245" s="108"/>
      <c r="HB245" s="108"/>
      <c r="HC245" s="108"/>
      <c r="HD245" s="108"/>
      <c r="HE245" s="108"/>
      <c r="HF245" s="108"/>
      <c r="HG245" s="108"/>
      <c r="HH245" s="108"/>
      <c r="HI245" s="108"/>
      <c r="HJ245" s="108"/>
      <c r="HK245" s="108"/>
      <c r="HL245" s="108"/>
      <c r="HM245" s="108"/>
      <c r="HN245" s="108"/>
      <c r="HO245" s="108"/>
      <c r="HP245" s="108"/>
      <c r="HQ245" s="108"/>
      <c r="HR245" s="108"/>
      <c r="HS245" s="108"/>
      <c r="HT245" s="108"/>
      <c r="HU245" s="108"/>
      <c r="HV245" s="108"/>
      <c r="HW245" s="108"/>
      <c r="HX245" s="108"/>
      <c r="HY245" s="108"/>
      <c r="HZ245" s="108"/>
      <c r="IA245" s="108"/>
      <c r="IB245" s="108"/>
      <c r="IC245" s="108"/>
      <c r="ID245" s="108"/>
      <c r="IE245" s="108"/>
      <c r="IF245" s="108"/>
      <c r="IG245" s="108"/>
      <c r="IH245" s="108"/>
      <c r="II245" s="108"/>
      <c r="IJ245" s="108"/>
      <c r="IK245" s="108"/>
      <c r="IL245" s="108"/>
      <c r="IM245" s="108"/>
      <c r="IN245" s="108"/>
      <c r="IO245" s="108"/>
      <c r="IP245" s="108"/>
      <c r="IQ245" s="108"/>
      <c r="IR245" s="108"/>
      <c r="IS245" s="108"/>
      <c r="IT245" s="108"/>
      <c r="IU245" s="108"/>
      <c r="IV245" s="108"/>
    </row>
    <row r="246" ht="12.75">
      <c r="B246" s="5"/>
    </row>
    <row r="247" spans="1:26" s="121" customFormat="1" ht="12.75">
      <c r="A247" s="39"/>
      <c r="B247" s="40"/>
      <c r="C247" s="78" t="s">
        <v>239</v>
      </c>
      <c r="D247" s="78"/>
      <c r="E247" s="78"/>
      <c r="F247" s="78"/>
      <c r="G247" s="78"/>
      <c r="H247" s="78"/>
      <c r="I247" s="78"/>
      <c r="J247" s="78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56" ht="12.75">
      <c r="A248" t="s">
        <v>240</v>
      </c>
      <c r="B248" s="5">
        <f>0.5*$O$10*(B183^2+B184^2)+0.5*$Q$10*B39^2</f>
        <v>2.574543763279832</v>
      </c>
      <c r="C248" s="5">
        <f>0.5*$O$10*(C183^2+C184^2)+0.5*$Q$10*C39^2</f>
        <v>1.2705898747106696</v>
      </c>
      <c r="D248" s="5">
        <f>0.5*$O$10*(D183^2+D184^2)+0.5*$Q$10*D39^2</f>
        <v>0.36252462270549013</v>
      </c>
      <c r="E248" s="5">
        <f>0.5*$O$10*(E183^2+E184^2)+0.5*$Q$10*E39^2</f>
        <v>0.018058803600066814</v>
      </c>
      <c r="F248" s="5">
        <f>0.5*$O$10*(F183^2+F184^2)+0.5*$Q$10*F39^2</f>
        <v>0.048772897101569485</v>
      </c>
      <c r="G248" s="5">
        <f>0.5*$O$10*(G183^2+G184^2)+0.5*$Q$10*G39^2</f>
        <v>0.2151730541403681</v>
      </c>
      <c r="H248" s="5">
        <f>0.5*$O$10*(H183^2+H184^2)+0.5*$Q$10*H39^2</f>
        <v>0.3939635348291614</v>
      </c>
      <c r="I248" s="5">
        <f>0.5*$O$10*(I183^2+I184^2)+0.5*$Q$10*I39^2</f>
        <v>0.5563517901595436</v>
      </c>
      <c r="J248" s="5">
        <f>0.5*$O$10*(J183^2+J184^2)+0.5*$Q$10*J39^2</f>
        <v>0.7043732860938122</v>
      </c>
      <c r="K248" s="5">
        <f>0.5*$O$10*(K183^2+K184^2)+0.5*$Q$10*K39^2</f>
        <v>0.8390535484964362</v>
      </c>
      <c r="L248" s="5">
        <f>0.5*$O$10*(L183^2+L184^2)+0.5*$Q$10*L39^2</f>
        <v>0.9525833146294186</v>
      </c>
      <c r="M248" s="5">
        <f>0.5*$O$10*(M183^2+M184^2)+0.5*$Q$10*M39^2</f>
        <v>1.0290417679343216</v>
      </c>
      <c r="N248" s="5">
        <f>0.5*$O$10*(N183^2+N184^2)+0.5*$Q$10*N39^2</f>
        <v>1.0476956236583133</v>
      </c>
      <c r="O248" s="5">
        <f>0.5*$O$10*(O183^2+O184^2)+0.5*$Q$10*O39^2</f>
        <v>0.9881234253342659</v>
      </c>
      <c r="P248" s="5">
        <f>0.5*$O$10*(P183^2+P184^2)+0.5*$Q$10*P39^2</f>
        <v>0.8377672234980007</v>
      </c>
      <c r="Q248" s="5">
        <f>0.5*$O$10*(Q183^2+Q184^2)+0.5*$Q$10*Q39^2</f>
        <v>0.6024989991324564</v>
      </c>
      <c r="R248" s="5">
        <f>0.5*$O$10*(R183^2+R184^2)+0.5*$Q$10*R39^2</f>
        <v>0.3202632238776107</v>
      </c>
      <c r="S248" s="5">
        <f>0.5*$O$10*(S183^2+S184^2)+0.5*$Q$10*S39^2</f>
        <v>0.07592444630613676</v>
      </c>
      <c r="T248" s="5">
        <f>0.5*$O$10*(T183^2+T184^2)+0.5*$Q$10*T39^2</f>
        <v>0.009654658290116719</v>
      </c>
      <c r="U248" s="5">
        <f>0.5*$O$10*(U183^2+U184^2)+0.5*$Q$10*U39^2</f>
        <v>0.2988249340839704</v>
      </c>
      <c r="V248" s="5">
        <f>0.5*$O$10*(V183^2+V184^2)+0.5*$Q$10*V39^2</f>
        <v>1.0769486608902836</v>
      </c>
      <c r="W248" s="5">
        <f>0.5*$O$10*(W183^2+W184^2)+0.5*$Q$10*W39^2</f>
        <v>2.2573907202797354</v>
      </c>
      <c r="X248" s="5">
        <f>0.5*$O$10*(X183^2+X184^2)+0.5*$Q$10*X39^2</f>
        <v>3.33344542418441</v>
      </c>
      <c r="Y248" s="5">
        <f>0.5*$O$10*(Y183^2+Y184^2)+0.5*$Q$10*Y39^2</f>
        <v>3.5171590818161884</v>
      </c>
      <c r="Z248" s="5">
        <f>0.5*$O$10*(Z183^2+Z184^2)+0.5*$Q$10*Z39^2</f>
        <v>2.5745437632798347</v>
      </c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  <c r="DT248" s="108"/>
      <c r="DU248" s="108"/>
      <c r="DV248" s="108"/>
      <c r="DW248" s="108"/>
      <c r="DX248" s="108"/>
      <c r="DY248" s="108"/>
      <c r="DZ248" s="108"/>
      <c r="EA248" s="108"/>
      <c r="EB248" s="108"/>
      <c r="EC248" s="108"/>
      <c r="ED248" s="108"/>
      <c r="EE248" s="108"/>
      <c r="EF248" s="108"/>
      <c r="EG248" s="108"/>
      <c r="EH248" s="108"/>
      <c r="EI248" s="108"/>
      <c r="EJ248" s="108"/>
      <c r="EK248" s="108"/>
      <c r="EL248" s="108"/>
      <c r="EM248" s="108"/>
      <c r="EN248" s="108"/>
      <c r="EO248" s="108"/>
      <c r="EP248" s="108"/>
      <c r="EQ248" s="108"/>
      <c r="ER248" s="108"/>
      <c r="ES248" s="108"/>
      <c r="ET248" s="108"/>
      <c r="EU248" s="108"/>
      <c r="EV248" s="108"/>
      <c r="EW248" s="108"/>
      <c r="EX248" s="108"/>
      <c r="EY248" s="108"/>
      <c r="EZ248" s="108"/>
      <c r="FA248" s="108"/>
      <c r="FB248" s="108"/>
      <c r="FC248" s="108"/>
      <c r="FD248" s="108"/>
      <c r="FE248" s="108"/>
      <c r="FF248" s="108"/>
      <c r="FG248" s="108"/>
      <c r="FH248" s="108"/>
      <c r="FI248" s="108"/>
      <c r="FJ248" s="108"/>
      <c r="FK248" s="108"/>
      <c r="FL248" s="108"/>
      <c r="FM248" s="108"/>
      <c r="FN248" s="108"/>
      <c r="FO248" s="108"/>
      <c r="FP248" s="108"/>
      <c r="FQ248" s="108"/>
      <c r="FR248" s="108"/>
      <c r="FS248" s="108"/>
      <c r="FT248" s="108"/>
      <c r="FU248" s="108"/>
      <c r="FV248" s="108"/>
      <c r="FW248" s="108"/>
      <c r="FX248" s="108"/>
      <c r="FY248" s="108"/>
      <c r="FZ248" s="108"/>
      <c r="GA248" s="108"/>
      <c r="GB248" s="108"/>
      <c r="GC248" s="108"/>
      <c r="GD248" s="108"/>
      <c r="GE248" s="108"/>
      <c r="GF248" s="108"/>
      <c r="GG248" s="108"/>
      <c r="GH248" s="108"/>
      <c r="GI248" s="108"/>
      <c r="GJ248" s="108"/>
      <c r="GK248" s="108"/>
      <c r="GL248" s="108"/>
      <c r="GM248" s="108"/>
      <c r="GN248" s="108"/>
      <c r="GO248" s="108"/>
      <c r="GP248" s="108"/>
      <c r="GQ248" s="108"/>
      <c r="GR248" s="108"/>
      <c r="GS248" s="108"/>
      <c r="GT248" s="108"/>
      <c r="GU248" s="108"/>
      <c r="GV248" s="108"/>
      <c r="GW248" s="108"/>
      <c r="GX248" s="108"/>
      <c r="GY248" s="108"/>
      <c r="GZ248" s="108"/>
      <c r="HA248" s="108"/>
      <c r="HB248" s="108"/>
      <c r="HC248" s="108"/>
      <c r="HD248" s="108"/>
      <c r="HE248" s="108"/>
      <c r="HF248" s="108"/>
      <c r="HG248" s="108"/>
      <c r="HH248" s="108"/>
      <c r="HI248" s="108"/>
      <c r="HJ248" s="108"/>
      <c r="HK248" s="108"/>
      <c r="HL248" s="108"/>
      <c r="HM248" s="108"/>
      <c r="HN248" s="108"/>
      <c r="HO248" s="108"/>
      <c r="HP248" s="108"/>
      <c r="HQ248" s="108"/>
      <c r="HR248" s="108"/>
      <c r="HS248" s="108"/>
      <c r="HT248" s="108"/>
      <c r="HU248" s="108"/>
      <c r="HV248" s="108"/>
      <c r="HW248" s="108"/>
      <c r="HX248" s="108"/>
      <c r="HY248" s="108"/>
      <c r="HZ248" s="108"/>
      <c r="IA248" s="108"/>
      <c r="IB248" s="108"/>
      <c r="IC248" s="108"/>
      <c r="ID248" s="108"/>
      <c r="IE248" s="108"/>
      <c r="IF248" s="108"/>
      <c r="IG248" s="108"/>
      <c r="IH248" s="108"/>
      <c r="II248" s="108"/>
      <c r="IJ248" s="108"/>
      <c r="IK248" s="108"/>
      <c r="IL248" s="108"/>
      <c r="IM248" s="108"/>
      <c r="IN248" s="108"/>
      <c r="IO248" s="108"/>
      <c r="IP248" s="108"/>
      <c r="IQ248" s="108"/>
      <c r="IR248" s="108"/>
      <c r="IS248" s="108"/>
      <c r="IT248" s="108"/>
      <c r="IU248" s="108"/>
      <c r="IV248" s="108"/>
    </row>
    <row r="249" spans="1:256" ht="12.75">
      <c r="A249" t="s">
        <v>241</v>
      </c>
      <c r="B249" s="5">
        <f>$O$10*B185</f>
        <v>-3.8535625941723644</v>
      </c>
      <c r="C249" s="5">
        <f>$O$10*C185</f>
        <v>-3.6115625283912136</v>
      </c>
      <c r="D249" s="5">
        <f>$O$10*D185</f>
        <v>-2.84650451058799</v>
      </c>
      <c r="E249" s="5">
        <f>$O$10*E185</f>
        <v>-2.099444956794989</v>
      </c>
      <c r="F249" s="5">
        <f>$O$10*F185</f>
        <v>-1.5187396166584775</v>
      </c>
      <c r="G249" s="5">
        <f>$O$10*G185</f>
        <v>-1.1627731204263922</v>
      </c>
      <c r="H249" s="5">
        <f>$O$10*H185</f>
        <v>-0.9992277340121982</v>
      </c>
      <c r="I249" s="5">
        <f>$O$10*I185</f>
        <v>-0.948795300130345</v>
      </c>
      <c r="J249" s="5">
        <f>$O$10*J185</f>
        <v>-0.9358673181987123</v>
      </c>
      <c r="K249" s="5">
        <f>$O$10*K185</f>
        <v>-0.9060474074958627</v>
      </c>
      <c r="L249" s="5">
        <f>$O$10*L185</f>
        <v>-0.8251106066453868</v>
      </c>
      <c r="M249" s="5">
        <f>$O$10*M185</f>
        <v>-0.6738055684271527</v>
      </c>
      <c r="N249" s="5">
        <f>$O$10*N185</f>
        <v>-0.4433849818811436</v>
      </c>
      <c r="O249" s="5">
        <f>$O$10*O185</f>
        <v>-0.13242220370403068</v>
      </c>
      <c r="P249" s="5">
        <f>$O$10*P185</f>
        <v>0.25513083356400196</v>
      </c>
      <c r="Q249" s="5">
        <f>$O$10*Q185</f>
        <v>0.7098953667551922</v>
      </c>
      <c r="R249" s="5">
        <f>$O$10*R185</f>
        <v>1.2133028433516244</v>
      </c>
      <c r="S249" s="5">
        <f>$O$10*S185</f>
        <v>1.727738027394191</v>
      </c>
      <c r="T249" s="5">
        <f>$O$10*T185</f>
        <v>2.1781816305565194</v>
      </c>
      <c r="U249" s="5">
        <f>$O$10*U185</f>
        <v>2.4249031108706647</v>
      </c>
      <c r="V249" s="5">
        <f>$O$10*V185</f>
        <v>2.2366105863093795</v>
      </c>
      <c r="W249" s="5">
        <f>$O$10*W185</f>
        <v>1.3111557790890804</v>
      </c>
      <c r="X249" s="5">
        <f>$O$10*X185</f>
        <v>-0.5092471709946413</v>
      </c>
      <c r="Y249" s="5">
        <f>$O$10*Y185</f>
        <v>-2.678027092310343</v>
      </c>
      <c r="Z249" s="5">
        <f>$O$10*Z185</f>
        <v>-3.8535625941723666</v>
      </c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8"/>
      <c r="DR249" s="108"/>
      <c r="DS249" s="108"/>
      <c r="DT249" s="108"/>
      <c r="DU249" s="108"/>
      <c r="DV249" s="108"/>
      <c r="DW249" s="108"/>
      <c r="DX249" s="108"/>
      <c r="DY249" s="108"/>
      <c r="DZ249" s="108"/>
      <c r="EA249" s="108"/>
      <c r="EB249" s="108"/>
      <c r="EC249" s="108"/>
      <c r="ED249" s="108"/>
      <c r="EE249" s="108"/>
      <c r="EF249" s="108"/>
      <c r="EG249" s="108"/>
      <c r="EH249" s="108"/>
      <c r="EI249" s="108"/>
      <c r="EJ249" s="108"/>
      <c r="EK249" s="108"/>
      <c r="EL249" s="108"/>
      <c r="EM249" s="108"/>
      <c r="EN249" s="108"/>
      <c r="EO249" s="108"/>
      <c r="EP249" s="108"/>
      <c r="EQ249" s="108"/>
      <c r="ER249" s="108"/>
      <c r="ES249" s="108"/>
      <c r="ET249" s="108"/>
      <c r="EU249" s="108"/>
      <c r="EV249" s="108"/>
      <c r="EW249" s="108"/>
      <c r="EX249" s="108"/>
      <c r="EY249" s="108"/>
      <c r="EZ249" s="108"/>
      <c r="FA249" s="108"/>
      <c r="FB249" s="108"/>
      <c r="FC249" s="108"/>
      <c r="FD249" s="108"/>
      <c r="FE249" s="108"/>
      <c r="FF249" s="108"/>
      <c r="FG249" s="108"/>
      <c r="FH249" s="108"/>
      <c r="FI249" s="108"/>
      <c r="FJ249" s="108"/>
      <c r="FK249" s="108"/>
      <c r="FL249" s="108"/>
      <c r="FM249" s="108"/>
      <c r="FN249" s="108"/>
      <c r="FO249" s="108"/>
      <c r="FP249" s="108"/>
      <c r="FQ249" s="108"/>
      <c r="FR249" s="108"/>
      <c r="FS249" s="108"/>
      <c r="FT249" s="108"/>
      <c r="FU249" s="108"/>
      <c r="FV249" s="108"/>
      <c r="FW249" s="108"/>
      <c r="FX249" s="108"/>
      <c r="FY249" s="108"/>
      <c r="FZ249" s="108"/>
      <c r="GA249" s="108"/>
      <c r="GB249" s="108"/>
      <c r="GC249" s="108"/>
      <c r="GD249" s="108"/>
      <c r="GE249" s="108"/>
      <c r="GF249" s="108"/>
      <c r="GG249" s="108"/>
      <c r="GH249" s="108"/>
      <c r="GI249" s="108"/>
      <c r="GJ249" s="108"/>
      <c r="GK249" s="108"/>
      <c r="GL249" s="108"/>
      <c r="GM249" s="108"/>
      <c r="GN249" s="108"/>
      <c r="GO249" s="108"/>
      <c r="GP249" s="108"/>
      <c r="GQ249" s="108"/>
      <c r="GR249" s="108"/>
      <c r="GS249" s="108"/>
      <c r="GT249" s="108"/>
      <c r="GU249" s="108"/>
      <c r="GV249" s="108"/>
      <c r="GW249" s="108"/>
      <c r="GX249" s="108"/>
      <c r="GY249" s="108"/>
      <c r="GZ249" s="108"/>
      <c r="HA249" s="108"/>
      <c r="HB249" s="108"/>
      <c r="HC249" s="108"/>
      <c r="HD249" s="108"/>
      <c r="HE249" s="108"/>
      <c r="HF249" s="108"/>
      <c r="HG249" s="108"/>
      <c r="HH249" s="108"/>
      <c r="HI249" s="108"/>
      <c r="HJ249" s="108"/>
      <c r="HK249" s="108"/>
      <c r="HL249" s="108"/>
      <c r="HM249" s="108"/>
      <c r="HN249" s="108"/>
      <c r="HO249" s="108"/>
      <c r="HP249" s="108"/>
      <c r="HQ249" s="108"/>
      <c r="HR249" s="108"/>
      <c r="HS249" s="108"/>
      <c r="HT249" s="108"/>
      <c r="HU249" s="108"/>
      <c r="HV249" s="108"/>
      <c r="HW249" s="108"/>
      <c r="HX249" s="108"/>
      <c r="HY249" s="108"/>
      <c r="HZ249" s="108"/>
      <c r="IA249" s="108"/>
      <c r="IB249" s="108"/>
      <c r="IC249" s="108"/>
      <c r="ID249" s="108"/>
      <c r="IE249" s="108"/>
      <c r="IF249" s="108"/>
      <c r="IG249" s="108"/>
      <c r="IH249" s="108"/>
      <c r="II249" s="108"/>
      <c r="IJ249" s="108"/>
      <c r="IK249" s="108"/>
      <c r="IL249" s="108"/>
      <c r="IM249" s="108"/>
      <c r="IN249" s="108"/>
      <c r="IO249" s="108"/>
      <c r="IP249" s="108"/>
      <c r="IQ249" s="108"/>
      <c r="IR249" s="108"/>
      <c r="IS249" s="108"/>
      <c r="IT249" s="108"/>
      <c r="IU249" s="108"/>
      <c r="IV249" s="108"/>
    </row>
    <row r="250" spans="1:256" ht="12.75">
      <c r="A250" t="s">
        <v>242</v>
      </c>
      <c r="B250" s="5">
        <f>$O$10*B186</f>
        <v>0.887103468372901</v>
      </c>
      <c r="C250" s="5">
        <f>$O$10*C186</f>
        <v>1.0993650460433235</v>
      </c>
      <c r="D250" s="5">
        <f>$O$10*D186</f>
        <v>0.7129483261168224</v>
      </c>
      <c r="E250" s="5">
        <f>$O$10*E186</f>
        <v>0.40066348587575673</v>
      </c>
      <c r="F250" s="5">
        <f>$O$10*F186</f>
        <v>0.3076715887921199</v>
      </c>
      <c r="G250" s="5">
        <f>$O$10*G186</f>
        <v>0.30914869174879334</v>
      </c>
      <c r="H250" s="5">
        <f>$O$10*H186</f>
        <v>0.3102189185291559</v>
      </c>
      <c r="I250" s="5">
        <f>$O$10*I186</f>
        <v>0.27822162059343714</v>
      </c>
      <c r="J250" s="5">
        <f>$O$10*J186</f>
        <v>0.2127503052355283</v>
      </c>
      <c r="K250" s="5">
        <f>$O$10*K186</f>
        <v>0.1252512947377388</v>
      </c>
      <c r="L250" s="5">
        <f>$O$10*L186</f>
        <v>0.029857678263656234</v>
      </c>
      <c r="M250" s="5">
        <f>$O$10*M186</f>
        <v>-0.0607449951314379</v>
      </c>
      <c r="N250" s="5">
        <f>$O$10*N186</f>
        <v>-0.13753212933622178</v>
      </c>
      <c r="O250" s="5">
        <f>$O$10*O186</f>
        <v>-0.19630604398674856</v>
      </c>
      <c r="P250" s="5">
        <f>$O$10*P186</f>
        <v>-0.23795033307221758</v>
      </c>
      <c r="Q250" s="5">
        <f>$O$10*Q186</f>
        <v>-0.26800381063262435</v>
      </c>
      <c r="R250" s="5">
        <f>$O$10*R186</f>
        <v>-0.29608063719151645</v>
      </c>
      <c r="S250" s="5">
        <f>$O$10*S186</f>
        <v>-0.3356324139988264</v>
      </c>
      <c r="T250" s="5">
        <f>$O$10*T186</f>
        <v>-0.40370534467996116</v>
      </c>
      <c r="U250" s="5">
        <f>$O$10*U186</f>
        <v>-0.5176469054117364</v>
      </c>
      <c r="V250" s="5">
        <f>$O$10*V186</f>
        <v>-0.6784250797332149</v>
      </c>
      <c r="W250" s="5">
        <f>$O$10*W186</f>
        <v>-0.8170312751848847</v>
      </c>
      <c r="X250" s="5">
        <f>$O$10*X186</f>
        <v>-0.7002503042599764</v>
      </c>
      <c r="Y250" s="5">
        <f>$O$10*Y186</f>
        <v>-0.023890606833788186</v>
      </c>
      <c r="Z250" s="5">
        <f>$O$10*Z186</f>
        <v>0.8871034683729015</v>
      </c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  <c r="DQ250" s="108"/>
      <c r="DR250" s="108"/>
      <c r="DS250" s="108"/>
      <c r="DT250" s="108"/>
      <c r="DU250" s="108"/>
      <c r="DV250" s="108"/>
      <c r="DW250" s="108"/>
      <c r="DX250" s="108"/>
      <c r="DY250" s="108"/>
      <c r="DZ250" s="108"/>
      <c r="EA250" s="108"/>
      <c r="EB250" s="108"/>
      <c r="EC250" s="108"/>
      <c r="ED250" s="108"/>
      <c r="EE250" s="108"/>
      <c r="EF250" s="108"/>
      <c r="EG250" s="108"/>
      <c r="EH250" s="108"/>
      <c r="EI250" s="108"/>
      <c r="EJ250" s="108"/>
      <c r="EK250" s="108"/>
      <c r="EL250" s="108"/>
      <c r="EM250" s="108"/>
      <c r="EN250" s="108"/>
      <c r="EO250" s="108"/>
      <c r="EP250" s="108"/>
      <c r="EQ250" s="108"/>
      <c r="ER250" s="108"/>
      <c r="ES250" s="108"/>
      <c r="ET250" s="108"/>
      <c r="EU250" s="108"/>
      <c r="EV250" s="108"/>
      <c r="EW250" s="108"/>
      <c r="EX250" s="108"/>
      <c r="EY250" s="108"/>
      <c r="EZ250" s="108"/>
      <c r="FA250" s="108"/>
      <c r="FB250" s="108"/>
      <c r="FC250" s="108"/>
      <c r="FD250" s="108"/>
      <c r="FE250" s="108"/>
      <c r="FF250" s="108"/>
      <c r="FG250" s="108"/>
      <c r="FH250" s="108"/>
      <c r="FI250" s="108"/>
      <c r="FJ250" s="108"/>
      <c r="FK250" s="108"/>
      <c r="FL250" s="108"/>
      <c r="FM250" s="108"/>
      <c r="FN250" s="108"/>
      <c r="FO250" s="108"/>
      <c r="FP250" s="108"/>
      <c r="FQ250" s="108"/>
      <c r="FR250" s="108"/>
      <c r="FS250" s="108"/>
      <c r="FT250" s="108"/>
      <c r="FU250" s="108"/>
      <c r="FV250" s="108"/>
      <c r="FW250" s="108"/>
      <c r="FX250" s="108"/>
      <c r="FY250" s="108"/>
      <c r="FZ250" s="108"/>
      <c r="GA250" s="108"/>
      <c r="GB250" s="108"/>
      <c r="GC250" s="108"/>
      <c r="GD250" s="108"/>
      <c r="GE250" s="108"/>
      <c r="GF250" s="108"/>
      <c r="GG250" s="108"/>
      <c r="GH250" s="108"/>
      <c r="GI250" s="108"/>
      <c r="GJ250" s="108"/>
      <c r="GK250" s="108"/>
      <c r="GL250" s="108"/>
      <c r="GM250" s="108"/>
      <c r="GN250" s="108"/>
      <c r="GO250" s="108"/>
      <c r="GP250" s="108"/>
      <c r="GQ250" s="108"/>
      <c r="GR250" s="108"/>
      <c r="GS250" s="108"/>
      <c r="GT250" s="108"/>
      <c r="GU250" s="108"/>
      <c r="GV250" s="108"/>
      <c r="GW250" s="108"/>
      <c r="GX250" s="108"/>
      <c r="GY250" s="108"/>
      <c r="GZ250" s="108"/>
      <c r="HA250" s="108"/>
      <c r="HB250" s="108"/>
      <c r="HC250" s="108"/>
      <c r="HD250" s="108"/>
      <c r="HE250" s="108"/>
      <c r="HF250" s="108"/>
      <c r="HG250" s="108"/>
      <c r="HH250" s="108"/>
      <c r="HI250" s="108"/>
      <c r="HJ250" s="108"/>
      <c r="HK250" s="108"/>
      <c r="HL250" s="108"/>
      <c r="HM250" s="108"/>
      <c r="HN250" s="108"/>
      <c r="HO250" s="108"/>
      <c r="HP250" s="108"/>
      <c r="HQ250" s="108"/>
      <c r="HR250" s="108"/>
      <c r="HS250" s="108"/>
      <c r="HT250" s="108"/>
      <c r="HU250" s="108"/>
      <c r="HV250" s="108"/>
      <c r="HW250" s="108"/>
      <c r="HX250" s="108"/>
      <c r="HY250" s="108"/>
      <c r="HZ250" s="108"/>
      <c r="IA250" s="108"/>
      <c r="IB250" s="108"/>
      <c r="IC250" s="108"/>
      <c r="ID250" s="108"/>
      <c r="IE250" s="108"/>
      <c r="IF250" s="108"/>
      <c r="IG250" s="108"/>
      <c r="IH250" s="108"/>
      <c r="II250" s="108"/>
      <c r="IJ250" s="108"/>
      <c r="IK250" s="108"/>
      <c r="IL250" s="108"/>
      <c r="IM250" s="108"/>
      <c r="IN250" s="108"/>
      <c r="IO250" s="108"/>
      <c r="IP250" s="108"/>
      <c r="IQ250" s="108"/>
      <c r="IR250" s="108"/>
      <c r="IS250" s="108"/>
      <c r="IT250" s="108"/>
      <c r="IU250" s="108"/>
      <c r="IV250" s="108"/>
    </row>
    <row r="251" spans="1:256" ht="12.75">
      <c r="A251" t="s">
        <v>243</v>
      </c>
      <c r="B251" s="5">
        <f>$Q$10*B43</f>
        <v>0.25465317854532804</v>
      </c>
      <c r="C251" s="5">
        <f>$Q$10*C43</f>
        <v>0.7800575257140041</v>
      </c>
      <c r="D251" s="5">
        <f>$Q$10*D43</f>
        <v>0.899559432707984</v>
      </c>
      <c r="E251" s="5">
        <f>$Q$10*E43</f>
        <v>0.7426749613154956</v>
      </c>
      <c r="F251" s="5">
        <f>$Q$10*F43</f>
        <v>0.5271955736400941</v>
      </c>
      <c r="G251" s="5">
        <f>$Q$10*G43</f>
        <v>0.3445081458425136</v>
      </c>
      <c r="H251" s="5">
        <f>$Q$10*H43</f>
        <v>0.2076929889163559</v>
      </c>
      <c r="I251" s="5">
        <f>$Q$10*I43</f>
        <v>0.10749759801843276</v>
      </c>
      <c r="J251" s="5">
        <f>$Q$10*J43</f>
        <v>0.033088242292318666</v>
      </c>
      <c r="K251" s="5">
        <f>$Q$10*K43</f>
        <v>-0.023398089039717827</v>
      </c>
      <c r="L251" s="5">
        <f>$Q$10*L43</f>
        <v>-0.06694709881156385</v>
      </c>
      <c r="M251" s="5">
        <f>$Q$10*M43</f>
        <v>-0.10067530536403127</v>
      </c>
      <c r="N251" s="5">
        <f>$Q$10*N43</f>
        <v>-0.1268248454327102</v>
      </c>
      <c r="O251" s="5">
        <f>$Q$10*O43</f>
        <v>-0.1475454732157453</v>
      </c>
      <c r="P251" s="5">
        <f>$Q$10*P43</f>
        <v>-0.16542402097755662</v>
      </c>
      <c r="Q251" s="5">
        <f>$Q$10*Q43</f>
        <v>-0.18379922937809146</v>
      </c>
      <c r="R251" s="5">
        <f>$Q$10*R43</f>
        <v>-0.20697794853433066</v>
      </c>
      <c r="S251" s="5">
        <f>$Q$10*S43</f>
        <v>-0.24047545562926914</v>
      </c>
      <c r="T251" s="5">
        <f>$Q$10*T43</f>
        <v>-0.29118676995447834</v>
      </c>
      <c r="U251" s="5">
        <f>$Q$10*U43</f>
        <v>-0.36656262100065173</v>
      </c>
      <c r="V251" s="5">
        <f>$Q$10*V43</f>
        <v>-0.4692275644621956</v>
      </c>
      <c r="W251" s="5">
        <f>$Q$10*W43</f>
        <v>-0.5770224448698262</v>
      </c>
      <c r="X251" s="5">
        <f>$Q$10*X43</f>
        <v>-0.5954792333857327</v>
      </c>
      <c r="Y251" s="5">
        <f>$Q$10*Y43</f>
        <v>-0.3353815420971394</v>
      </c>
      <c r="Z251" s="5">
        <f>$Q$10*Z43</f>
        <v>0.25465317854532804</v>
      </c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  <c r="DP251" s="108"/>
      <c r="DQ251" s="108"/>
      <c r="DR251" s="108"/>
      <c r="DS251" s="108"/>
      <c r="DT251" s="108"/>
      <c r="DU251" s="108"/>
      <c r="DV251" s="108"/>
      <c r="DW251" s="108"/>
      <c r="DX251" s="108"/>
      <c r="DY251" s="108"/>
      <c r="DZ251" s="108"/>
      <c r="EA251" s="108"/>
      <c r="EB251" s="108"/>
      <c r="EC251" s="108"/>
      <c r="ED251" s="108"/>
      <c r="EE251" s="108"/>
      <c r="EF251" s="108"/>
      <c r="EG251" s="108"/>
      <c r="EH251" s="108"/>
      <c r="EI251" s="108"/>
      <c r="EJ251" s="108"/>
      <c r="EK251" s="108"/>
      <c r="EL251" s="108"/>
      <c r="EM251" s="108"/>
      <c r="EN251" s="108"/>
      <c r="EO251" s="108"/>
      <c r="EP251" s="108"/>
      <c r="EQ251" s="108"/>
      <c r="ER251" s="108"/>
      <c r="ES251" s="108"/>
      <c r="ET251" s="108"/>
      <c r="EU251" s="108"/>
      <c r="EV251" s="108"/>
      <c r="EW251" s="108"/>
      <c r="EX251" s="108"/>
      <c r="EY251" s="108"/>
      <c r="EZ251" s="108"/>
      <c r="FA251" s="108"/>
      <c r="FB251" s="108"/>
      <c r="FC251" s="108"/>
      <c r="FD251" s="108"/>
      <c r="FE251" s="108"/>
      <c r="FF251" s="108"/>
      <c r="FG251" s="108"/>
      <c r="FH251" s="108"/>
      <c r="FI251" s="108"/>
      <c r="FJ251" s="108"/>
      <c r="FK251" s="108"/>
      <c r="FL251" s="108"/>
      <c r="FM251" s="108"/>
      <c r="FN251" s="108"/>
      <c r="FO251" s="108"/>
      <c r="FP251" s="108"/>
      <c r="FQ251" s="108"/>
      <c r="FR251" s="108"/>
      <c r="FS251" s="108"/>
      <c r="FT251" s="108"/>
      <c r="FU251" s="108"/>
      <c r="FV251" s="108"/>
      <c r="FW251" s="108"/>
      <c r="FX251" s="108"/>
      <c r="FY251" s="108"/>
      <c r="FZ251" s="108"/>
      <c r="GA251" s="108"/>
      <c r="GB251" s="108"/>
      <c r="GC251" s="108"/>
      <c r="GD251" s="108"/>
      <c r="GE251" s="108"/>
      <c r="GF251" s="108"/>
      <c r="GG251" s="108"/>
      <c r="GH251" s="108"/>
      <c r="GI251" s="108"/>
      <c r="GJ251" s="108"/>
      <c r="GK251" s="108"/>
      <c r="GL251" s="108"/>
      <c r="GM251" s="108"/>
      <c r="GN251" s="108"/>
      <c r="GO251" s="108"/>
      <c r="GP251" s="108"/>
      <c r="GQ251" s="108"/>
      <c r="GR251" s="108"/>
      <c r="GS251" s="108"/>
      <c r="GT251" s="108"/>
      <c r="GU251" s="108"/>
      <c r="GV251" s="108"/>
      <c r="GW251" s="108"/>
      <c r="GX251" s="108"/>
      <c r="GY251" s="108"/>
      <c r="GZ251" s="108"/>
      <c r="HA251" s="108"/>
      <c r="HB251" s="108"/>
      <c r="HC251" s="108"/>
      <c r="HD251" s="108"/>
      <c r="HE251" s="108"/>
      <c r="HF251" s="108"/>
      <c r="HG251" s="108"/>
      <c r="HH251" s="108"/>
      <c r="HI251" s="108"/>
      <c r="HJ251" s="108"/>
      <c r="HK251" s="108"/>
      <c r="HL251" s="108"/>
      <c r="HM251" s="108"/>
      <c r="HN251" s="108"/>
      <c r="HO251" s="108"/>
      <c r="HP251" s="108"/>
      <c r="HQ251" s="108"/>
      <c r="HR251" s="108"/>
      <c r="HS251" s="108"/>
      <c r="HT251" s="108"/>
      <c r="HU251" s="108"/>
      <c r="HV251" s="108"/>
      <c r="HW251" s="108"/>
      <c r="HX251" s="108"/>
      <c r="HY251" s="108"/>
      <c r="HZ251" s="108"/>
      <c r="IA251" s="108"/>
      <c r="IB251" s="108"/>
      <c r="IC251" s="108"/>
      <c r="ID251" s="108"/>
      <c r="IE251" s="108"/>
      <c r="IF251" s="108"/>
      <c r="IG251" s="108"/>
      <c r="IH251" s="108"/>
      <c r="II251" s="108"/>
      <c r="IJ251" s="108"/>
      <c r="IK251" s="108"/>
      <c r="IL251" s="108"/>
      <c r="IM251" s="108"/>
      <c r="IN251" s="108"/>
      <c r="IO251" s="108"/>
      <c r="IP251" s="108"/>
      <c r="IQ251" s="108"/>
      <c r="IR251" s="108"/>
      <c r="IS251" s="108"/>
      <c r="IT251" s="108"/>
      <c r="IU251" s="108"/>
      <c r="IV251" s="108"/>
    </row>
    <row r="252" spans="1:256" ht="12.75">
      <c r="A252" t="s">
        <v>244</v>
      </c>
      <c r="B252" s="5">
        <f>B249*B183+B250*B184+B251*B39</f>
        <v>-8.718140054137985</v>
      </c>
      <c r="C252" s="5">
        <f>C249*C183+C250*C184+C251*C39</f>
        <v>-6.098941639227758</v>
      </c>
      <c r="D252" s="5">
        <f>D249*D183+D250*D184+D251*D39</f>
        <v>-2.6105601824822293</v>
      </c>
      <c r="E252" s="5">
        <f>E249*E183+E250*E184+E251*E39</f>
        <v>-0.4300135883963104</v>
      </c>
      <c r="F252" s="5">
        <f>F249*F183+F250*F184+F251*F39</f>
        <v>0.5111771315569337</v>
      </c>
      <c r="G252" s="5">
        <f>G249*G183+G250*G184+G251*G39</f>
        <v>0.81911254659853</v>
      </c>
      <c r="H252" s="5">
        <f>H249*H183+H250*H184+H251*H39</f>
        <v>0.9376867026985888</v>
      </c>
      <c r="I252" s="5">
        <f>I249*I183+I250*I184+I251*I39</f>
        <v>1.026381727824633</v>
      </c>
      <c r="J252" s="5">
        <f>J249*J183+J250*J184+J251*J39</f>
        <v>1.0956660108677652</v>
      </c>
      <c r="K252" s="5">
        <f>K249*K183+K250*K184+K251*K39</f>
        <v>1.1122121527703461</v>
      </c>
      <c r="L252" s="5">
        <f>L249*L183+L250*L184+L251*L39</f>
        <v>1.0378898042418743</v>
      </c>
      <c r="M252" s="5">
        <f>M249*M183+M250*M184+M251*M39</f>
        <v>0.8426374174109771</v>
      </c>
      <c r="N252" s="5">
        <f>N249*N183+N250*N184+N251*N39</f>
        <v>0.5144567370170299</v>
      </c>
      <c r="O252" s="5">
        <f>O249*O183+O250*O184+O251*O39</f>
        <v>0.07202978221473247</v>
      </c>
      <c r="P252" s="5">
        <f>P249*P183+P250*P184+P251*P39</f>
        <v>-0.42121461985763825</v>
      </c>
      <c r="Q252" s="5">
        <f>Q249*Q183+Q250*Q184+Q251*Q39</f>
        <v>-0.8441845193362791</v>
      </c>
      <c r="R252" s="5">
        <f>R249*R183+R250*R184+R251*R39</f>
        <v>-1.011798741869197</v>
      </c>
      <c r="S252" s="5">
        <f>S249*S183+S250*S184+S251*S39</f>
        <v>-0.692195419285945</v>
      </c>
      <c r="T252" s="5">
        <f>T249*T183+T250*T184+T251*T39</f>
        <v>0.3104782327101162</v>
      </c>
      <c r="U252" s="5">
        <f>U249*U183+U250*U184+U251*U39</f>
        <v>1.9371584418937973</v>
      </c>
      <c r="V252" s="5">
        <f>V249*V183+V250*V184+V251*V39</f>
        <v>3.481123911887302</v>
      </c>
      <c r="W252" s="5">
        <f>W249*W183+W250*W184+W251*W39</f>
        <v>3.2781171577423796</v>
      </c>
      <c r="X252" s="5">
        <f>X249*X183+X250*X184+X251*X39</f>
        <v>-0.4414970614230389</v>
      </c>
      <c r="Y252" s="5">
        <f>Y249*Y183+Y250*Y184+Y251*Y39</f>
        <v>-6.307798336159958</v>
      </c>
      <c r="Z252" s="5">
        <f>Z249*Z183+Z250*Z184+Z251*Z39</f>
        <v>-8.718140054137994</v>
      </c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  <c r="DT252" s="108"/>
      <c r="DU252" s="108"/>
      <c r="DV252" s="108"/>
      <c r="DW252" s="108"/>
      <c r="DX252" s="108"/>
      <c r="DY252" s="108"/>
      <c r="DZ252" s="108"/>
      <c r="EA252" s="108"/>
      <c r="EB252" s="108"/>
      <c r="EC252" s="108"/>
      <c r="ED252" s="108"/>
      <c r="EE252" s="108"/>
      <c r="EF252" s="108"/>
      <c r="EG252" s="108"/>
      <c r="EH252" s="108"/>
      <c r="EI252" s="108"/>
      <c r="EJ252" s="108"/>
      <c r="EK252" s="108"/>
      <c r="EL252" s="108"/>
      <c r="EM252" s="108"/>
      <c r="EN252" s="108"/>
      <c r="EO252" s="108"/>
      <c r="EP252" s="108"/>
      <c r="EQ252" s="108"/>
      <c r="ER252" s="108"/>
      <c r="ES252" s="108"/>
      <c r="ET252" s="108"/>
      <c r="EU252" s="108"/>
      <c r="EV252" s="108"/>
      <c r="EW252" s="108"/>
      <c r="EX252" s="108"/>
      <c r="EY252" s="108"/>
      <c r="EZ252" s="108"/>
      <c r="FA252" s="108"/>
      <c r="FB252" s="108"/>
      <c r="FC252" s="108"/>
      <c r="FD252" s="108"/>
      <c r="FE252" s="108"/>
      <c r="FF252" s="108"/>
      <c r="FG252" s="108"/>
      <c r="FH252" s="108"/>
      <c r="FI252" s="108"/>
      <c r="FJ252" s="108"/>
      <c r="FK252" s="108"/>
      <c r="FL252" s="108"/>
      <c r="FM252" s="108"/>
      <c r="FN252" s="108"/>
      <c r="FO252" s="108"/>
      <c r="FP252" s="108"/>
      <c r="FQ252" s="108"/>
      <c r="FR252" s="108"/>
      <c r="FS252" s="108"/>
      <c r="FT252" s="108"/>
      <c r="FU252" s="108"/>
      <c r="FV252" s="108"/>
      <c r="FW252" s="108"/>
      <c r="FX252" s="108"/>
      <c r="FY252" s="108"/>
      <c r="FZ252" s="108"/>
      <c r="GA252" s="108"/>
      <c r="GB252" s="108"/>
      <c r="GC252" s="108"/>
      <c r="GD252" s="108"/>
      <c r="GE252" s="108"/>
      <c r="GF252" s="108"/>
      <c r="GG252" s="108"/>
      <c r="GH252" s="108"/>
      <c r="GI252" s="108"/>
      <c r="GJ252" s="108"/>
      <c r="GK252" s="108"/>
      <c r="GL252" s="108"/>
      <c r="GM252" s="108"/>
      <c r="GN252" s="108"/>
      <c r="GO252" s="108"/>
      <c r="GP252" s="108"/>
      <c r="GQ252" s="108"/>
      <c r="GR252" s="108"/>
      <c r="GS252" s="108"/>
      <c r="GT252" s="108"/>
      <c r="GU252" s="108"/>
      <c r="GV252" s="108"/>
      <c r="GW252" s="108"/>
      <c r="GX252" s="108"/>
      <c r="GY252" s="108"/>
      <c r="GZ252" s="108"/>
      <c r="HA252" s="108"/>
      <c r="HB252" s="108"/>
      <c r="HC252" s="108"/>
      <c r="HD252" s="108"/>
      <c r="HE252" s="108"/>
      <c r="HF252" s="108"/>
      <c r="HG252" s="108"/>
      <c r="HH252" s="108"/>
      <c r="HI252" s="108"/>
      <c r="HJ252" s="108"/>
      <c r="HK252" s="108"/>
      <c r="HL252" s="108"/>
      <c r="HM252" s="108"/>
      <c r="HN252" s="108"/>
      <c r="HO252" s="108"/>
      <c r="HP252" s="108"/>
      <c r="HQ252" s="108"/>
      <c r="HR252" s="108"/>
      <c r="HS252" s="108"/>
      <c r="HT252" s="108"/>
      <c r="HU252" s="108"/>
      <c r="HV252" s="108"/>
      <c r="HW252" s="108"/>
      <c r="HX252" s="108"/>
      <c r="HY252" s="108"/>
      <c r="HZ252" s="108"/>
      <c r="IA252" s="108"/>
      <c r="IB252" s="108"/>
      <c r="IC252" s="108"/>
      <c r="ID252" s="108"/>
      <c r="IE252" s="108"/>
      <c r="IF252" s="108"/>
      <c r="IG252" s="108"/>
      <c r="IH252" s="108"/>
      <c r="II252" s="108"/>
      <c r="IJ252" s="108"/>
      <c r="IK252" s="108"/>
      <c r="IL252" s="108"/>
      <c r="IM252" s="108"/>
      <c r="IN252" s="108"/>
      <c r="IO252" s="108"/>
      <c r="IP252" s="108"/>
      <c r="IQ252" s="108"/>
      <c r="IR252" s="108"/>
      <c r="IS252" s="108"/>
      <c r="IT252" s="108"/>
      <c r="IU252" s="108"/>
      <c r="IV252" s="108"/>
    </row>
    <row r="253" spans="1:256" ht="12.75">
      <c r="A253" t="s">
        <v>245</v>
      </c>
      <c r="B253" s="5">
        <f>B184*$O$10*$S$5</f>
        <v>-6.953158974764397</v>
      </c>
      <c r="C253" s="5">
        <f>C184*$O$10*$S$5</f>
        <v>-4.151875774569253</v>
      </c>
      <c r="D253" s="5">
        <f>D184*$O$10*$S$5</f>
        <v>-1.7363632679311962</v>
      </c>
      <c r="E253" s="5">
        <f>E184*$O$10*$S$5</f>
        <v>-0.33188880940572707</v>
      </c>
      <c r="F253" s="5">
        <f>F184*$O$10*$S$5</f>
        <v>0.5595047386618899</v>
      </c>
      <c r="G253" s="5">
        <f>G184*$O$10*$S$5</f>
        <v>1.3596531368781284</v>
      </c>
      <c r="H253" s="5">
        <f>H184*$O$10*$S$5</f>
        <v>2.175935945531194</v>
      </c>
      <c r="I253" s="5">
        <f>I184*$O$10*$S$5</f>
        <v>2.9542201073956824</v>
      </c>
      <c r="J253" s="5">
        <f>J184*$O$10*$S$5</f>
        <v>3.6031835865052306</v>
      </c>
      <c r="K253" s="5">
        <f>K184*$O$10*$S$5</f>
        <v>4.0488923910715835</v>
      </c>
      <c r="L253" s="5">
        <f>L184*$O$10*$S$5</f>
        <v>4.252156103375921</v>
      </c>
      <c r="M253" s="5">
        <f>M184*$O$10*$S$5</f>
        <v>4.209517510466392</v>
      </c>
      <c r="N253" s="5">
        <f>N184*$O$10*$S$5</f>
        <v>3.9462960600646273</v>
      </c>
      <c r="O253" s="5">
        <f>O184*$O$10*$S$5</f>
        <v>3.505270835610946</v>
      </c>
      <c r="P253" s="5">
        <f>P184*$O$10*$S$5</f>
        <v>2.9335244022637044</v>
      </c>
      <c r="Q253" s="5">
        <f>Q184*$O$10*$S$5</f>
        <v>2.269597682770013</v>
      </c>
      <c r="R253" s="5">
        <f>R184*$O$10*$S$5</f>
        <v>1.5320951356260055</v>
      </c>
      <c r="S253" s="5">
        <f>S184*$O$10*$S$5</f>
        <v>0.7094210256677356</v>
      </c>
      <c r="T253" s="5">
        <f>T184*$O$10*$S$5</f>
        <v>-0.2501145827518191</v>
      </c>
      <c r="U253" s="5">
        <f>U184*$O$10*$S$5</f>
        <v>-1.4447569675749135</v>
      </c>
      <c r="V253" s="5">
        <f>V184*$O$10*$S$5</f>
        <v>-3.0031836870834216</v>
      </c>
      <c r="W253" s="5">
        <f>W184*$O$10*$S$5</f>
        <v>-4.982705239345952</v>
      </c>
      <c r="X253" s="5">
        <f>X184*$O$10*$S$5</f>
        <v>-7.063343907561523</v>
      </c>
      <c r="Y253" s="5">
        <f>Y184*$O$10*$S$5</f>
        <v>-8.141877588820407</v>
      </c>
      <c r="Z253" s="5">
        <f>Z184*$O$10*$S$5</f>
        <v>-6.953158974764399</v>
      </c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  <c r="DQ253" s="108"/>
      <c r="DR253" s="108"/>
      <c r="DS253" s="108"/>
      <c r="DT253" s="108"/>
      <c r="DU253" s="108"/>
      <c r="DV253" s="108"/>
      <c r="DW253" s="108"/>
      <c r="DX253" s="108"/>
      <c r="DY253" s="108"/>
      <c r="DZ253" s="108"/>
      <c r="EA253" s="108"/>
      <c r="EB253" s="108"/>
      <c r="EC253" s="108"/>
      <c r="ED253" s="108"/>
      <c r="EE253" s="108"/>
      <c r="EF253" s="108"/>
      <c r="EG253" s="108"/>
      <c r="EH253" s="108"/>
      <c r="EI253" s="108"/>
      <c r="EJ253" s="108"/>
      <c r="EK253" s="108"/>
      <c r="EL253" s="108"/>
      <c r="EM253" s="108"/>
      <c r="EN253" s="108"/>
      <c r="EO253" s="108"/>
      <c r="EP253" s="108"/>
      <c r="EQ253" s="108"/>
      <c r="ER253" s="108"/>
      <c r="ES253" s="108"/>
      <c r="ET253" s="108"/>
      <c r="EU253" s="108"/>
      <c r="EV253" s="108"/>
      <c r="EW253" s="108"/>
      <c r="EX253" s="108"/>
      <c r="EY253" s="108"/>
      <c r="EZ253" s="108"/>
      <c r="FA253" s="108"/>
      <c r="FB253" s="108"/>
      <c r="FC253" s="108"/>
      <c r="FD253" s="108"/>
      <c r="FE253" s="108"/>
      <c r="FF253" s="108"/>
      <c r="FG253" s="108"/>
      <c r="FH253" s="108"/>
      <c r="FI253" s="108"/>
      <c r="FJ253" s="108"/>
      <c r="FK253" s="108"/>
      <c r="FL253" s="108"/>
      <c r="FM253" s="108"/>
      <c r="FN253" s="108"/>
      <c r="FO253" s="108"/>
      <c r="FP253" s="108"/>
      <c r="FQ253" s="108"/>
      <c r="FR253" s="108"/>
      <c r="FS253" s="108"/>
      <c r="FT253" s="108"/>
      <c r="FU253" s="108"/>
      <c r="FV253" s="108"/>
      <c r="FW253" s="108"/>
      <c r="FX253" s="108"/>
      <c r="FY253" s="108"/>
      <c r="FZ253" s="108"/>
      <c r="GA253" s="108"/>
      <c r="GB253" s="108"/>
      <c r="GC253" s="108"/>
      <c r="GD253" s="108"/>
      <c r="GE253" s="108"/>
      <c r="GF253" s="108"/>
      <c r="GG253" s="108"/>
      <c r="GH253" s="108"/>
      <c r="GI253" s="108"/>
      <c r="GJ253" s="108"/>
      <c r="GK253" s="108"/>
      <c r="GL253" s="108"/>
      <c r="GM253" s="108"/>
      <c r="GN253" s="108"/>
      <c r="GO253" s="108"/>
      <c r="GP253" s="108"/>
      <c r="GQ253" s="108"/>
      <c r="GR253" s="108"/>
      <c r="GS253" s="108"/>
      <c r="GT253" s="108"/>
      <c r="GU253" s="108"/>
      <c r="GV253" s="108"/>
      <c r="GW253" s="108"/>
      <c r="GX253" s="108"/>
      <c r="GY253" s="108"/>
      <c r="GZ253" s="108"/>
      <c r="HA253" s="108"/>
      <c r="HB253" s="108"/>
      <c r="HC253" s="108"/>
      <c r="HD253" s="108"/>
      <c r="HE253" s="108"/>
      <c r="HF253" s="108"/>
      <c r="HG253" s="108"/>
      <c r="HH253" s="108"/>
      <c r="HI253" s="108"/>
      <c r="HJ253" s="108"/>
      <c r="HK253" s="108"/>
      <c r="HL253" s="108"/>
      <c r="HM253" s="108"/>
      <c r="HN253" s="108"/>
      <c r="HO253" s="108"/>
      <c r="HP253" s="108"/>
      <c r="HQ253" s="108"/>
      <c r="HR253" s="108"/>
      <c r="HS253" s="108"/>
      <c r="HT253" s="108"/>
      <c r="HU253" s="108"/>
      <c r="HV253" s="108"/>
      <c r="HW253" s="108"/>
      <c r="HX253" s="108"/>
      <c r="HY253" s="108"/>
      <c r="HZ253" s="108"/>
      <c r="IA253" s="108"/>
      <c r="IB253" s="108"/>
      <c r="IC253" s="108"/>
      <c r="ID253" s="108"/>
      <c r="IE253" s="108"/>
      <c r="IF253" s="108"/>
      <c r="IG253" s="108"/>
      <c r="IH253" s="108"/>
      <c r="II253" s="108"/>
      <c r="IJ253" s="108"/>
      <c r="IK253" s="108"/>
      <c r="IL253" s="108"/>
      <c r="IM253" s="108"/>
      <c r="IN253" s="108"/>
      <c r="IO253" s="108"/>
      <c r="IP253" s="108"/>
      <c r="IQ253" s="108"/>
      <c r="IR253" s="108"/>
      <c r="IS253" s="108"/>
      <c r="IT253" s="108"/>
      <c r="IU253" s="108"/>
      <c r="IV253" s="108"/>
    </row>
    <row r="254" spans="1:256" ht="12.75">
      <c r="A254" t="s">
        <v>304</v>
      </c>
      <c r="B254" s="5">
        <f>B253+B245+B237+B229+B221+B213+B205+B197</f>
        <v>9.347885191782307</v>
      </c>
      <c r="C254" s="5">
        <f>C253+C245+C237+C229+C221+C213+C205+C197</f>
        <v>0.7932245941531058</v>
      </c>
      <c r="D254" s="5">
        <f>D253+D245+D237+D229+D221+D213+D205+D197</f>
        <v>-1.775916221377173</v>
      </c>
      <c r="E254" s="5">
        <f>E253+E245+E237+E229+E221+E213+E205+E197</f>
        <v>-0.800724062563134</v>
      </c>
      <c r="F254" s="5">
        <f>F253+F245+F237+F229+F221+F213+F205+F197</f>
        <v>0.46644892263207893</v>
      </c>
      <c r="G254" s="5">
        <f>G253+G245+G237+G229+G221+G213+G205+G197</f>
        <v>0.65205339628631</v>
      </c>
      <c r="H254" s="5">
        <f>H253+H245+H237+H229+H221+H213+H205+H197</f>
        <v>-0.4346975253523277</v>
      </c>
      <c r="I254" s="5">
        <f>I253+I245+I237+I229+I221+I213+I205+I197</f>
        <v>-2.519865049097139</v>
      </c>
      <c r="J254" s="5">
        <f>J253+J245+J237+J229+J221+J213+J205+J197</f>
        <v>-5.170676205209832</v>
      </c>
      <c r="K254" s="5">
        <f>K253+K245+K237+K229+K221+K213+K205+K197</f>
        <v>-7.923370523367309</v>
      </c>
      <c r="L254" s="5">
        <f>L253+L245+L237+L229+L221+L213+L205+L197</f>
        <v>-10.354507713608154</v>
      </c>
      <c r="M254" s="5">
        <f>M253+M245+M237+M229+M221+M213+M205+M197</f>
        <v>-12.128617406333106</v>
      </c>
      <c r="N254" s="5">
        <f>N253+N245+N237+N229+N221+N213+N205+N197</f>
        <v>-13.024211635814673</v>
      </c>
      <c r="O254" s="5">
        <f>O253+O245+O237+O229+O221+O213+O205+O197</f>
        <v>-12.933924961443015</v>
      </c>
      <c r="P254" s="5">
        <f>P253+P245+P237+P229+P221+P213+P205+P197</f>
        <v>-11.839366413015973</v>
      </c>
      <c r="Q254" s="5">
        <f>Q253+Q245+Q237+Q229+Q221+Q213+Q205+Q197</f>
        <v>-9.769545643887966</v>
      </c>
      <c r="R254" s="5">
        <f>R253+R245+R237+R229+R221+R213+R205+R197</f>
        <v>-6.757275507598072</v>
      </c>
      <c r="S254" s="5">
        <f>S253+S245+S237+S229+S221+S213+S205+S197</f>
        <v>-2.8093390960473013</v>
      </c>
      <c r="T254" s="5">
        <f>T253+T245+T237+T229+T221+T213+T205+T197</f>
        <v>2.0907121725062794</v>
      </c>
      <c r="U254" s="5">
        <f>U253+U245+U237+U229+U221+U213+U205+U197</f>
        <v>7.910750711572188</v>
      </c>
      <c r="V254" s="5">
        <f>V253+V245+V237+V229+V221+V213+V205+V197</f>
        <v>14.344333934642995</v>
      </c>
      <c r="W254" s="5">
        <f>W253+W245+W237+W229+W221+W213+W205+W197</f>
        <v>20.28614231447455</v>
      </c>
      <c r="X254" s="5">
        <f>X253+X245+X237+X229+X221+X213+X205+X197</f>
        <v>23.09507968691548</v>
      </c>
      <c r="Y254" s="5">
        <f>Y253+Y245+Y237+Y229+Y221+Y213+Y205+Y197</f>
        <v>19.255406449368703</v>
      </c>
      <c r="Z254" s="5">
        <f>Z253+Z245+Z237+Z229+Z221+Z213+Z205+Z197</f>
        <v>9.347885191782307</v>
      </c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  <c r="DT254" s="108"/>
      <c r="DU254" s="108"/>
      <c r="DV254" s="108"/>
      <c r="DW254" s="108"/>
      <c r="DX254" s="108"/>
      <c r="DY254" s="108"/>
      <c r="DZ254" s="108"/>
      <c r="EA254" s="108"/>
      <c r="EB254" s="108"/>
      <c r="EC254" s="108"/>
      <c r="ED254" s="108"/>
      <c r="EE254" s="108"/>
      <c r="EF254" s="108"/>
      <c r="EG254" s="108"/>
      <c r="EH254" s="108"/>
      <c r="EI254" s="108"/>
      <c r="EJ254" s="108"/>
      <c r="EK254" s="108"/>
      <c r="EL254" s="108"/>
      <c r="EM254" s="108"/>
      <c r="EN254" s="108"/>
      <c r="EO254" s="108"/>
      <c r="EP254" s="108"/>
      <c r="EQ254" s="108"/>
      <c r="ER254" s="108"/>
      <c r="ES254" s="108"/>
      <c r="ET254" s="108"/>
      <c r="EU254" s="108"/>
      <c r="EV254" s="108"/>
      <c r="EW254" s="108"/>
      <c r="EX254" s="108"/>
      <c r="EY254" s="108"/>
      <c r="EZ254" s="108"/>
      <c r="FA254" s="108"/>
      <c r="FB254" s="108"/>
      <c r="FC254" s="108"/>
      <c r="FD254" s="108"/>
      <c r="FE254" s="108"/>
      <c r="FF254" s="108"/>
      <c r="FG254" s="108"/>
      <c r="FH254" s="108"/>
      <c r="FI254" s="108"/>
      <c r="FJ254" s="108"/>
      <c r="FK254" s="108"/>
      <c r="FL254" s="108"/>
      <c r="FM254" s="108"/>
      <c r="FN254" s="108"/>
      <c r="FO254" s="108"/>
      <c r="FP254" s="108"/>
      <c r="FQ254" s="108"/>
      <c r="FR254" s="108"/>
      <c r="FS254" s="108"/>
      <c r="FT254" s="108"/>
      <c r="FU254" s="108"/>
      <c r="FV254" s="108"/>
      <c r="FW254" s="108"/>
      <c r="FX254" s="108"/>
      <c r="FY254" s="108"/>
      <c r="FZ254" s="108"/>
      <c r="GA254" s="108"/>
      <c r="GB254" s="108"/>
      <c r="GC254" s="108"/>
      <c r="GD254" s="108"/>
      <c r="GE254" s="108"/>
      <c r="GF254" s="108"/>
      <c r="GG254" s="108"/>
      <c r="GH254" s="108"/>
      <c r="GI254" s="108"/>
      <c r="GJ254" s="108"/>
      <c r="GK254" s="108"/>
      <c r="GL254" s="108"/>
      <c r="GM254" s="108"/>
      <c r="GN254" s="108"/>
      <c r="GO254" s="108"/>
      <c r="GP254" s="108"/>
      <c r="GQ254" s="108"/>
      <c r="GR254" s="108"/>
      <c r="GS254" s="108"/>
      <c r="GT254" s="108"/>
      <c r="GU254" s="108"/>
      <c r="GV254" s="108"/>
      <c r="GW254" s="108"/>
      <c r="GX254" s="108"/>
      <c r="GY254" s="108"/>
      <c r="GZ254" s="108"/>
      <c r="HA254" s="108"/>
      <c r="HB254" s="108"/>
      <c r="HC254" s="108"/>
      <c r="HD254" s="108"/>
      <c r="HE254" s="108"/>
      <c r="HF254" s="108"/>
      <c r="HG254" s="108"/>
      <c r="HH254" s="108"/>
      <c r="HI254" s="108"/>
      <c r="HJ254" s="108"/>
      <c r="HK254" s="108"/>
      <c r="HL254" s="108"/>
      <c r="HM254" s="108"/>
      <c r="HN254" s="108"/>
      <c r="HO254" s="108"/>
      <c r="HP254" s="108"/>
      <c r="HQ254" s="108"/>
      <c r="HR254" s="108"/>
      <c r="HS254" s="108"/>
      <c r="HT254" s="108"/>
      <c r="HU254" s="108"/>
      <c r="HV254" s="108"/>
      <c r="HW254" s="108"/>
      <c r="HX254" s="108"/>
      <c r="HY254" s="108"/>
      <c r="HZ254" s="108"/>
      <c r="IA254" s="108"/>
      <c r="IB254" s="108"/>
      <c r="IC254" s="108"/>
      <c r="ID254" s="108"/>
      <c r="IE254" s="108"/>
      <c r="IF254" s="108"/>
      <c r="IG254" s="108"/>
      <c r="IH254" s="108"/>
      <c r="II254" s="108"/>
      <c r="IJ254" s="108"/>
      <c r="IK254" s="108"/>
      <c r="IL254" s="108"/>
      <c r="IM254" s="108"/>
      <c r="IN254" s="108"/>
      <c r="IO254" s="108"/>
      <c r="IP254" s="108"/>
      <c r="IQ254" s="108"/>
      <c r="IR254" s="108"/>
      <c r="IS254" s="108"/>
      <c r="IT254" s="108"/>
      <c r="IU254" s="108"/>
      <c r="IV254" s="108"/>
    </row>
    <row r="255" spans="1:256" ht="12.75">
      <c r="A255" t="s">
        <v>305</v>
      </c>
      <c r="B255" s="5">
        <f>(B228+B196+B204+B212+B220+B252+B244+B236)</f>
        <v>-29.15855512863665</v>
      </c>
      <c r="C255" s="5">
        <f>(C228+C196+C204+C212+C220+C252+C244+C236)</f>
        <v>-33.35069005992682</v>
      </c>
      <c r="D255" s="5">
        <f>(D228+D196+D204+D212+D220+D252+D244+D236)</f>
        <v>-15.846731758033371</v>
      </c>
      <c r="E255" s="5">
        <f>(E228+E196+E204+E212+E220+E252+E244+E236)</f>
        <v>0.4071546899683338</v>
      </c>
      <c r="F255" s="5">
        <f>(F228+F196+F204+F212+F220+F252+F244+F236)</f>
        <v>7.059053105325735</v>
      </c>
      <c r="G255" s="5">
        <f>(G228+G196+G204+G212+G220+G252+G244+G236)</f>
        <v>7.486706074050803</v>
      </c>
      <c r="H255" s="5">
        <f>(H228+H196+H204+H212+H220+H252+H244+H236)</f>
        <v>5.712600601569339</v>
      </c>
      <c r="I255" s="5">
        <f>(I228+I196+I204+I212+I220+I252+I244+I236)</f>
        <v>3.640757620592323</v>
      </c>
      <c r="J255" s="5">
        <f>(J228+J196+J204+J212+J220+J252+J244+J236)</f>
        <v>1.8342595349241015</v>
      </c>
      <c r="K255" s="5">
        <f>(K228+K196+K204+K212+K220+K252+K244+K236)</f>
        <v>0.35124358443047454</v>
      </c>
      <c r="L255" s="5">
        <f>(L228+L196+L204+L212+L220+L252+L244+L236)</f>
        <v>-0.8758682975890197</v>
      </c>
      <c r="M255" s="5">
        <f>(M228+M196+M204+M212+M220+M252+M244+M236)</f>
        <v>-1.9148659005209727</v>
      </c>
      <c r="N255" s="5">
        <f>(N228+N196+N204+N212+N220+N252+N244+N236)</f>
        <v>-2.800266297212915</v>
      </c>
      <c r="O255" s="5">
        <f>(O228+O196+O204+O212+O220+O252+O244+O236)</f>
        <v>-3.520381520627809</v>
      </c>
      <c r="P255" s="5">
        <f>(P228+P196+P204+P212+P220+P252+P244+P236)</f>
        <v>-3.9965077045642965</v>
      </c>
      <c r="Q255" s="5">
        <f>(Q228+Q196+Q204+Q212+Q220+Q252+Q244+Q236)</f>
        <v>-4.046242741544553</v>
      </c>
      <c r="R255" s="5">
        <f>(R228+R196+R204+R212+R220+R252+R244+R236)</f>
        <v>-3.339894970906284</v>
      </c>
      <c r="S255" s="5">
        <f>(S228+S196+S204+S212+S220+S252+S244+S236)</f>
        <v>-1.3826739134042456</v>
      </c>
      <c r="T255" s="5">
        <f>(T228+T196+T204+T212+T220+T252+T244+T236)</f>
        <v>2.4022760159311236</v>
      </c>
      <c r="U255" s="5">
        <f>(U228+U196+U204+U212+U220+U252+U244+U236)</f>
        <v>8.345971669822642</v>
      </c>
      <c r="V255" s="5">
        <f>(V228+V196+V204+V212+V220+V252+V244+V236)</f>
        <v>15.738455343596648</v>
      </c>
      <c r="W255" s="5">
        <f>(W228+W196+W204+W212+W220+W252+W244+W236)</f>
        <v>21.349473901707324</v>
      </c>
      <c r="X255" s="5">
        <f>(X228+X196+X204+X212+X220+X252+X244+X236)</f>
        <v>17.830212536080925</v>
      </c>
      <c r="Y255" s="5">
        <f>(Y228+Y196+Y204+Y212+Y220+Y252+Y244+Y236)</f>
        <v>-2.525711183363815</v>
      </c>
      <c r="Z255" s="5">
        <f>(Z228+Z196+Z204+Z212+Z220+Z252+Z244+Z236)</f>
        <v>-29.158555128636664</v>
      </c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  <c r="DH255" s="108"/>
      <c r="DI255" s="108"/>
      <c r="DJ255" s="108"/>
      <c r="DK255" s="108"/>
      <c r="DL255" s="108"/>
      <c r="DM255" s="108"/>
      <c r="DN255" s="108"/>
      <c r="DO255" s="108"/>
      <c r="DP255" s="108"/>
      <c r="DQ255" s="108"/>
      <c r="DR255" s="108"/>
      <c r="DS255" s="108"/>
      <c r="DT255" s="108"/>
      <c r="DU255" s="108"/>
      <c r="DV255" s="108"/>
      <c r="DW255" s="108"/>
      <c r="DX255" s="108"/>
      <c r="DY255" s="108"/>
      <c r="DZ255" s="108"/>
      <c r="EA255" s="108"/>
      <c r="EB255" s="108"/>
      <c r="EC255" s="108"/>
      <c r="ED255" s="108"/>
      <c r="EE255" s="108"/>
      <c r="EF255" s="108"/>
      <c r="EG255" s="108"/>
      <c r="EH255" s="108"/>
      <c r="EI255" s="108"/>
      <c r="EJ255" s="108"/>
      <c r="EK255" s="108"/>
      <c r="EL255" s="108"/>
      <c r="EM255" s="108"/>
      <c r="EN255" s="108"/>
      <c r="EO255" s="108"/>
      <c r="EP255" s="108"/>
      <c r="EQ255" s="108"/>
      <c r="ER255" s="108"/>
      <c r="ES255" s="108"/>
      <c r="ET255" s="108"/>
      <c r="EU255" s="108"/>
      <c r="EV255" s="108"/>
      <c r="EW255" s="108"/>
      <c r="EX255" s="108"/>
      <c r="EY255" s="108"/>
      <c r="EZ255" s="108"/>
      <c r="FA255" s="108"/>
      <c r="FB255" s="108"/>
      <c r="FC255" s="108"/>
      <c r="FD255" s="108"/>
      <c r="FE255" s="108"/>
      <c r="FF255" s="108"/>
      <c r="FG255" s="108"/>
      <c r="FH255" s="108"/>
      <c r="FI255" s="108"/>
      <c r="FJ255" s="108"/>
      <c r="FK255" s="108"/>
      <c r="FL255" s="108"/>
      <c r="FM255" s="108"/>
      <c r="FN255" s="108"/>
      <c r="FO255" s="108"/>
      <c r="FP255" s="108"/>
      <c r="FQ255" s="108"/>
      <c r="FR255" s="108"/>
      <c r="FS255" s="108"/>
      <c r="FT255" s="108"/>
      <c r="FU255" s="108"/>
      <c r="FV255" s="108"/>
      <c r="FW255" s="108"/>
      <c r="FX255" s="108"/>
      <c r="FY255" s="108"/>
      <c r="FZ255" s="108"/>
      <c r="GA255" s="108"/>
      <c r="GB255" s="108"/>
      <c r="GC255" s="108"/>
      <c r="GD255" s="108"/>
      <c r="GE255" s="108"/>
      <c r="GF255" s="108"/>
      <c r="GG255" s="108"/>
      <c r="GH255" s="108"/>
      <c r="GI255" s="108"/>
      <c r="GJ255" s="108"/>
      <c r="GK255" s="108"/>
      <c r="GL255" s="108"/>
      <c r="GM255" s="108"/>
      <c r="GN255" s="108"/>
      <c r="GO255" s="108"/>
      <c r="GP255" s="108"/>
      <c r="GQ255" s="108"/>
      <c r="GR255" s="108"/>
      <c r="GS255" s="108"/>
      <c r="GT255" s="108"/>
      <c r="GU255" s="108"/>
      <c r="GV255" s="108"/>
      <c r="GW255" s="108"/>
      <c r="GX255" s="108"/>
      <c r="GY255" s="108"/>
      <c r="GZ255" s="108"/>
      <c r="HA255" s="108"/>
      <c r="HB255" s="108"/>
      <c r="HC255" s="108"/>
      <c r="HD255" s="108"/>
      <c r="HE255" s="108"/>
      <c r="HF255" s="108"/>
      <c r="HG255" s="108"/>
      <c r="HH255" s="108"/>
      <c r="HI255" s="108"/>
      <c r="HJ255" s="108"/>
      <c r="HK255" s="108"/>
      <c r="HL255" s="108"/>
      <c r="HM255" s="108"/>
      <c r="HN255" s="108"/>
      <c r="HO255" s="108"/>
      <c r="HP255" s="108"/>
      <c r="HQ255" s="108"/>
      <c r="HR255" s="108"/>
      <c r="HS255" s="108"/>
      <c r="HT255" s="108"/>
      <c r="HU255" s="108"/>
      <c r="HV255" s="108"/>
      <c r="HW255" s="108"/>
      <c r="HX255" s="108"/>
      <c r="HY255" s="108"/>
      <c r="HZ255" s="108"/>
      <c r="IA255" s="108"/>
      <c r="IB255" s="108"/>
      <c r="IC255" s="108"/>
      <c r="ID255" s="108"/>
      <c r="IE255" s="108"/>
      <c r="IF255" s="108"/>
      <c r="IG255" s="108"/>
      <c r="IH255" s="108"/>
      <c r="II255" s="108"/>
      <c r="IJ255" s="108"/>
      <c r="IK255" s="108"/>
      <c r="IL255" s="108"/>
      <c r="IM255" s="108"/>
      <c r="IN255" s="108"/>
      <c r="IO255" s="108"/>
      <c r="IP255" s="108"/>
      <c r="IQ255" s="108"/>
      <c r="IR255" s="108"/>
      <c r="IS255" s="108"/>
      <c r="IT255" s="108"/>
      <c r="IU255" s="108"/>
      <c r="IV255" s="108"/>
    </row>
    <row r="256" spans="1:256" ht="12.75">
      <c r="A256" t="s">
        <v>306</v>
      </c>
      <c r="B256" s="5">
        <f>B254+B255</f>
        <v>-19.810669936854342</v>
      </c>
      <c r="C256" s="5">
        <f>C254+C255</f>
        <v>-32.55746546577372</v>
      </c>
      <c r="D256" s="5">
        <f>D254+D255</f>
        <v>-17.622647979410544</v>
      </c>
      <c r="E256" s="5">
        <f>E254+E255</f>
        <v>-0.3935693725948002</v>
      </c>
      <c r="F256" s="5">
        <f>F254+F255</f>
        <v>7.525502027957814</v>
      </c>
      <c r="G256" s="5">
        <f>G254+G255</f>
        <v>8.138759470337114</v>
      </c>
      <c r="H256" s="5">
        <f>H254+H255</f>
        <v>5.277903076217012</v>
      </c>
      <c r="I256" s="5">
        <f>I254+I255</f>
        <v>1.120892571495184</v>
      </c>
      <c r="J256" s="5">
        <f>J254+J255</f>
        <v>-3.33641667028573</v>
      </c>
      <c r="K256" s="5">
        <f>K254+K255</f>
        <v>-7.572126938936834</v>
      </c>
      <c r="L256" s="5">
        <f>L254+L255</f>
        <v>-11.230376011197173</v>
      </c>
      <c r="M256" s="5">
        <f>M254+M255</f>
        <v>-14.043483306854078</v>
      </c>
      <c r="N256" s="5">
        <f>N254+N255</f>
        <v>-15.824477933027588</v>
      </c>
      <c r="O256" s="5">
        <f>O254+O255</f>
        <v>-16.454306482070823</v>
      </c>
      <c r="P256" s="5">
        <f>P254+P255</f>
        <v>-15.83587411758027</v>
      </c>
      <c r="Q256" s="5">
        <f>Q254+Q255</f>
        <v>-13.81578838543252</v>
      </c>
      <c r="R256" s="5">
        <f>R254+R255</f>
        <v>-10.097170478504356</v>
      </c>
      <c r="S256" s="5">
        <f>S254+S255</f>
        <v>-4.192013009451546</v>
      </c>
      <c r="T256" s="5">
        <f>T254+T255</f>
        <v>4.492988188437403</v>
      </c>
      <c r="U256" s="5">
        <f>U254+U255</f>
        <v>16.25672238139483</v>
      </c>
      <c r="V256" s="5">
        <f>V254+V255</f>
        <v>30.082789278239645</v>
      </c>
      <c r="W256" s="5">
        <f>W254+W255</f>
        <v>41.63561621618187</v>
      </c>
      <c r="X256" s="5">
        <f>X254+X255</f>
        <v>40.925292222996404</v>
      </c>
      <c r="Y256" s="5">
        <f>Y254+Y255</f>
        <v>16.72969526600489</v>
      </c>
      <c r="Z256" s="5">
        <f>Z254+Z255</f>
        <v>-19.810669936854357</v>
      </c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  <c r="DJ256" s="108"/>
      <c r="DK256" s="108"/>
      <c r="DL256" s="108"/>
      <c r="DM256" s="108"/>
      <c r="DN256" s="108"/>
      <c r="DO256" s="108"/>
      <c r="DP256" s="108"/>
      <c r="DQ256" s="108"/>
      <c r="DR256" s="108"/>
      <c r="DS256" s="108"/>
      <c r="DT256" s="108"/>
      <c r="DU256" s="108"/>
      <c r="DV256" s="108"/>
      <c r="DW256" s="108"/>
      <c r="DX256" s="108"/>
      <c r="DY256" s="108"/>
      <c r="DZ256" s="108"/>
      <c r="EA256" s="108"/>
      <c r="EB256" s="108"/>
      <c r="EC256" s="108"/>
      <c r="ED256" s="108"/>
      <c r="EE256" s="108"/>
      <c r="EF256" s="108"/>
      <c r="EG256" s="108"/>
      <c r="EH256" s="108"/>
      <c r="EI256" s="108"/>
      <c r="EJ256" s="108"/>
      <c r="EK256" s="108"/>
      <c r="EL256" s="108"/>
      <c r="EM256" s="108"/>
      <c r="EN256" s="108"/>
      <c r="EO256" s="108"/>
      <c r="EP256" s="108"/>
      <c r="EQ256" s="108"/>
      <c r="ER256" s="108"/>
      <c r="ES256" s="108"/>
      <c r="ET256" s="108"/>
      <c r="EU256" s="108"/>
      <c r="EV256" s="108"/>
      <c r="EW256" s="108"/>
      <c r="EX256" s="108"/>
      <c r="EY256" s="108"/>
      <c r="EZ256" s="108"/>
      <c r="FA256" s="108"/>
      <c r="FB256" s="108"/>
      <c r="FC256" s="108"/>
      <c r="FD256" s="108"/>
      <c r="FE256" s="108"/>
      <c r="FF256" s="108"/>
      <c r="FG256" s="108"/>
      <c r="FH256" s="108"/>
      <c r="FI256" s="108"/>
      <c r="FJ256" s="108"/>
      <c r="FK256" s="108"/>
      <c r="FL256" s="108"/>
      <c r="FM256" s="108"/>
      <c r="FN256" s="108"/>
      <c r="FO256" s="108"/>
      <c r="FP256" s="108"/>
      <c r="FQ256" s="108"/>
      <c r="FR256" s="108"/>
      <c r="FS256" s="108"/>
      <c r="FT256" s="108"/>
      <c r="FU256" s="108"/>
      <c r="FV256" s="108"/>
      <c r="FW256" s="108"/>
      <c r="FX256" s="108"/>
      <c r="FY256" s="108"/>
      <c r="FZ256" s="108"/>
      <c r="GA256" s="108"/>
      <c r="GB256" s="108"/>
      <c r="GC256" s="108"/>
      <c r="GD256" s="108"/>
      <c r="GE256" s="108"/>
      <c r="GF256" s="108"/>
      <c r="GG256" s="108"/>
      <c r="GH256" s="108"/>
      <c r="GI256" s="108"/>
      <c r="GJ256" s="108"/>
      <c r="GK256" s="108"/>
      <c r="GL256" s="108"/>
      <c r="GM256" s="108"/>
      <c r="GN256" s="108"/>
      <c r="GO256" s="108"/>
      <c r="GP256" s="108"/>
      <c r="GQ256" s="108"/>
      <c r="GR256" s="108"/>
      <c r="GS256" s="108"/>
      <c r="GT256" s="108"/>
      <c r="GU256" s="108"/>
      <c r="GV256" s="108"/>
      <c r="GW256" s="108"/>
      <c r="GX256" s="108"/>
      <c r="GY256" s="108"/>
      <c r="GZ256" s="108"/>
      <c r="HA256" s="108"/>
      <c r="HB256" s="108"/>
      <c r="HC256" s="108"/>
      <c r="HD256" s="108"/>
      <c r="HE256" s="108"/>
      <c r="HF256" s="108"/>
      <c r="HG256" s="108"/>
      <c r="HH256" s="108"/>
      <c r="HI256" s="108"/>
      <c r="HJ256" s="108"/>
      <c r="HK256" s="108"/>
      <c r="HL256" s="108"/>
      <c r="HM256" s="108"/>
      <c r="HN256" s="108"/>
      <c r="HO256" s="108"/>
      <c r="HP256" s="108"/>
      <c r="HQ256" s="108"/>
      <c r="HR256" s="108"/>
      <c r="HS256" s="108"/>
      <c r="HT256" s="108"/>
      <c r="HU256" s="108"/>
      <c r="HV256" s="108"/>
      <c r="HW256" s="108"/>
      <c r="HX256" s="108"/>
      <c r="HY256" s="108"/>
      <c r="HZ256" s="108"/>
      <c r="IA256" s="108"/>
      <c r="IB256" s="108"/>
      <c r="IC256" s="108"/>
      <c r="ID256" s="108"/>
      <c r="IE256" s="108"/>
      <c r="IF256" s="108"/>
      <c r="IG256" s="108"/>
      <c r="IH256" s="108"/>
      <c r="II256" s="108"/>
      <c r="IJ256" s="108"/>
      <c r="IK256" s="108"/>
      <c r="IL256" s="108"/>
      <c r="IM256" s="108"/>
      <c r="IN256" s="108"/>
      <c r="IO256" s="108"/>
      <c r="IP256" s="108"/>
      <c r="IQ256" s="108"/>
      <c r="IR256" s="108"/>
      <c r="IS256" s="108"/>
      <c r="IT256" s="108"/>
      <c r="IU256" s="108"/>
      <c r="IV256" s="108"/>
    </row>
    <row r="257" spans="1:256" s="123" customFormat="1" ht="12.75">
      <c r="A257" s="61"/>
      <c r="B257" s="62"/>
      <c r="C257" s="62"/>
      <c r="D257" s="62"/>
      <c r="E257" s="62"/>
      <c r="F257" s="62" t="s">
        <v>303</v>
      </c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22"/>
      <c r="DG257" s="122"/>
      <c r="DH257" s="122"/>
      <c r="DI257" s="122"/>
      <c r="DJ257" s="122"/>
      <c r="DK257" s="122"/>
      <c r="DL257" s="122"/>
      <c r="DM257" s="122"/>
      <c r="DN257" s="122"/>
      <c r="DO257" s="122"/>
      <c r="DP257" s="122"/>
      <c r="DQ257" s="122"/>
      <c r="DR257" s="122"/>
      <c r="DS257" s="122"/>
      <c r="DT257" s="122"/>
      <c r="DU257" s="122"/>
      <c r="DV257" s="122"/>
      <c r="DW257" s="122"/>
      <c r="DX257" s="122"/>
      <c r="DY257" s="122"/>
      <c r="DZ257" s="122"/>
      <c r="EA257" s="122"/>
      <c r="EB257" s="122"/>
      <c r="EC257" s="122"/>
      <c r="ED257" s="122"/>
      <c r="EE257" s="122"/>
      <c r="EF257" s="122"/>
      <c r="EG257" s="122"/>
      <c r="EH257" s="122"/>
      <c r="EI257" s="122"/>
      <c r="EJ257" s="122"/>
      <c r="EK257" s="122"/>
      <c r="EL257" s="122"/>
      <c r="EM257" s="122"/>
      <c r="EN257" s="122"/>
      <c r="EO257" s="122"/>
      <c r="EP257" s="122"/>
      <c r="EQ257" s="122"/>
      <c r="ER257" s="122"/>
      <c r="ES257" s="122"/>
      <c r="ET257" s="122"/>
      <c r="EU257" s="122"/>
      <c r="EV257" s="122"/>
      <c r="EW257" s="122"/>
      <c r="EX257" s="122"/>
      <c r="EY257" s="122"/>
      <c r="EZ257" s="122"/>
      <c r="FA257" s="122"/>
      <c r="FB257" s="122"/>
      <c r="FC257" s="122"/>
      <c r="FD257" s="122"/>
      <c r="FE257" s="122"/>
      <c r="FF257" s="122"/>
      <c r="FG257" s="122"/>
      <c r="FH257" s="122"/>
      <c r="FI257" s="122"/>
      <c r="FJ257" s="122"/>
      <c r="FK257" s="122"/>
      <c r="FL257" s="122"/>
      <c r="FM257" s="122"/>
      <c r="FN257" s="122"/>
      <c r="FO257" s="122"/>
      <c r="FP257" s="122"/>
      <c r="FQ257" s="122"/>
      <c r="FR257" s="122"/>
      <c r="FS257" s="122"/>
      <c r="FT257" s="122"/>
      <c r="FU257" s="122"/>
      <c r="FV257" s="122"/>
      <c r="FW257" s="122"/>
      <c r="FX257" s="122"/>
      <c r="FY257" s="122"/>
      <c r="FZ257" s="122"/>
      <c r="GA257" s="122"/>
      <c r="GB257" s="122"/>
      <c r="GC257" s="122"/>
      <c r="GD257" s="122"/>
      <c r="GE257" s="122"/>
      <c r="GF257" s="122"/>
      <c r="GG257" s="122"/>
      <c r="GH257" s="122"/>
      <c r="GI257" s="122"/>
      <c r="GJ257" s="122"/>
      <c r="GK257" s="122"/>
      <c r="GL257" s="122"/>
      <c r="GM257" s="122"/>
      <c r="GN257" s="122"/>
      <c r="GO257" s="122"/>
      <c r="GP257" s="122"/>
      <c r="GQ257" s="122"/>
      <c r="GR257" s="122"/>
      <c r="GS257" s="122"/>
      <c r="GT257" s="122"/>
      <c r="GU257" s="122"/>
      <c r="GV257" s="122"/>
      <c r="GW257" s="122"/>
      <c r="GX257" s="122"/>
      <c r="GY257" s="122"/>
      <c r="GZ257" s="122"/>
      <c r="HA257" s="122"/>
      <c r="HB257" s="122"/>
      <c r="HC257" s="122"/>
      <c r="HD257" s="122"/>
      <c r="HE257" s="122"/>
      <c r="HF257" s="122"/>
      <c r="HG257" s="122"/>
      <c r="HH257" s="122"/>
      <c r="HI257" s="122"/>
      <c r="HJ257" s="122"/>
      <c r="HK257" s="122"/>
      <c r="HL257" s="122"/>
      <c r="HM257" s="122"/>
      <c r="HN257" s="122"/>
      <c r="HO257" s="122"/>
      <c r="HP257" s="122"/>
      <c r="HQ257" s="122"/>
      <c r="HR257" s="122"/>
      <c r="HS257" s="122"/>
      <c r="HT257" s="122"/>
      <c r="HU257" s="122"/>
      <c r="HV257" s="122"/>
      <c r="HW257" s="122"/>
      <c r="HX257" s="122"/>
      <c r="HY257" s="122"/>
      <c r="HZ257" s="122"/>
      <c r="IA257" s="122"/>
      <c r="IB257" s="122"/>
      <c r="IC257" s="122"/>
      <c r="ID257" s="122"/>
      <c r="IE257" s="122"/>
      <c r="IF257" s="122"/>
      <c r="IG257" s="122"/>
      <c r="IH257" s="122"/>
      <c r="II257" s="122"/>
      <c r="IJ257" s="122"/>
      <c r="IK257" s="122"/>
      <c r="IL257" s="122"/>
      <c r="IM257" s="122"/>
      <c r="IN257" s="122"/>
      <c r="IO257" s="122"/>
      <c r="IP257" s="122"/>
      <c r="IQ257" s="122"/>
      <c r="IR257" s="122"/>
      <c r="IS257" s="122"/>
      <c r="IT257" s="122"/>
      <c r="IU257" s="122"/>
      <c r="IV257" s="122"/>
    </row>
    <row r="258" spans="1:256" ht="12.75">
      <c r="A258" t="s">
        <v>308</v>
      </c>
      <c r="B258" s="5">
        <f>(B253+B245+B237+B229+B221+B213+B205+B197)/B20</f>
        <v>9.347885191782307</v>
      </c>
      <c r="C258" s="5">
        <f>(C253+C245+C237+C229+C221+C213+C205+C197)/C20</f>
        <v>0.7932245941531058</v>
      </c>
      <c r="D258" s="5">
        <f>(D253+D245+D237+D229+D221+D213+D205+D197)/D20</f>
        <v>-1.775916221377173</v>
      </c>
      <c r="E258" s="5">
        <f>(E253+E245+E237+E229+E221+E213+E205+E197)/E20</f>
        <v>-0.800724062563134</v>
      </c>
      <c r="F258" s="5">
        <f>(F253+F245+F237+F229+F221+F213+F205+F197)/F20</f>
        <v>0.46644892263207893</v>
      </c>
      <c r="G258" s="5">
        <f>(G253+G245+G237+G229+G221+G213+G205+G197)/G20</f>
        <v>0.65205339628631</v>
      </c>
      <c r="H258" s="5">
        <f>(H253+H245+H237+H229+H221+H213+H205+H197)/H20</f>
        <v>-0.4346975253523277</v>
      </c>
      <c r="I258" s="5">
        <f>(I253+I245+I237+I229+I221+I213+I205+I197)/I20</f>
        <v>-2.519865049097139</v>
      </c>
      <c r="J258" s="5">
        <f>(J253+J245+J237+J229+J221+J213+J205+J197)/J20</f>
        <v>-5.170676205209832</v>
      </c>
      <c r="K258" s="5">
        <f>(K253+K245+K237+K229+K221+K213+K205+K197)/K20</f>
        <v>-7.923370523367309</v>
      </c>
      <c r="L258" s="5">
        <f>(L253+L245+L237+L229+L221+L213+L205+L197)/L20</f>
        <v>-10.354507713608154</v>
      </c>
      <c r="M258" s="5">
        <f>(M253+M245+M237+M229+M221+M213+M205+M197)/M20</f>
        <v>-12.128617406333106</v>
      </c>
      <c r="N258" s="5">
        <f>(N253+N245+N237+N229+N221+N213+N205+N197)/N20</f>
        <v>-13.024211635814673</v>
      </c>
      <c r="O258" s="5">
        <f>(O253+O245+O237+O229+O221+O213+O205+O197)/O20</f>
        <v>-12.933924961443015</v>
      </c>
      <c r="P258" s="5">
        <f>(P253+P245+P237+P229+P221+P213+P205+P197)/P20</f>
        <v>-11.839366413015973</v>
      </c>
      <c r="Q258" s="5">
        <f>(Q253+Q245+Q237+Q229+Q221+Q213+Q205+Q197)/Q20</f>
        <v>-9.769545643887966</v>
      </c>
      <c r="R258" s="5">
        <f>(R253+R245+R237+R229+R221+R213+R205+R197)/R20</f>
        <v>-6.757275507598072</v>
      </c>
      <c r="S258" s="5">
        <f>(S253+S245+S237+S229+S221+S213+S205+S197)/S20</f>
        <v>-2.8093390960473013</v>
      </c>
      <c r="T258" s="5">
        <f>(T253+T245+T237+T229+T221+T213+T205+T197)/T20</f>
        <v>2.0907121725062794</v>
      </c>
      <c r="U258" s="5">
        <f>(U253+U245+U237+U229+U221+U213+U205+U197)/U20</f>
        <v>7.910750711572188</v>
      </c>
      <c r="V258" s="5">
        <f>(V253+V245+V237+V229+V221+V213+V205+V197)/V20</f>
        <v>14.344333934642995</v>
      </c>
      <c r="W258" s="5">
        <f>(W253+W245+W237+W229+W221+W213+W205+W197)/W20</f>
        <v>20.28614231447455</v>
      </c>
      <c r="X258" s="5">
        <f>(X253+X245+X237+X229+X221+X213+X205+X197)/X20</f>
        <v>23.09507968691548</v>
      </c>
      <c r="Y258" s="5">
        <f>(Y253+Y245+Y237+Y229+Y221+Y213+Y205+Y197)/Y20</f>
        <v>19.255406449368703</v>
      </c>
      <c r="Z258" s="5">
        <f>(Z253+Z245+Z237+Z229+Z221+Z213+Z205+Z197)/Z20</f>
        <v>9.347885191782307</v>
      </c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  <c r="DP258" s="108"/>
      <c r="DQ258" s="108"/>
      <c r="DR258" s="108"/>
      <c r="DS258" s="108"/>
      <c r="DT258" s="108"/>
      <c r="DU258" s="108"/>
      <c r="DV258" s="108"/>
      <c r="DW258" s="108"/>
      <c r="DX258" s="108"/>
      <c r="DY258" s="108"/>
      <c r="DZ258" s="108"/>
      <c r="EA258" s="108"/>
      <c r="EB258" s="108"/>
      <c r="EC258" s="108"/>
      <c r="ED258" s="108"/>
      <c r="EE258" s="108"/>
      <c r="EF258" s="108"/>
      <c r="EG258" s="108"/>
      <c r="EH258" s="108"/>
      <c r="EI258" s="108"/>
      <c r="EJ258" s="108"/>
      <c r="EK258" s="108"/>
      <c r="EL258" s="108"/>
      <c r="EM258" s="108"/>
      <c r="EN258" s="108"/>
      <c r="EO258" s="108"/>
      <c r="EP258" s="108"/>
      <c r="EQ258" s="108"/>
      <c r="ER258" s="108"/>
      <c r="ES258" s="108"/>
      <c r="ET258" s="108"/>
      <c r="EU258" s="108"/>
      <c r="EV258" s="108"/>
      <c r="EW258" s="108"/>
      <c r="EX258" s="108"/>
      <c r="EY258" s="108"/>
      <c r="EZ258" s="108"/>
      <c r="FA258" s="108"/>
      <c r="FB258" s="108"/>
      <c r="FC258" s="108"/>
      <c r="FD258" s="108"/>
      <c r="FE258" s="108"/>
      <c r="FF258" s="108"/>
      <c r="FG258" s="108"/>
      <c r="FH258" s="108"/>
      <c r="FI258" s="108"/>
      <c r="FJ258" s="108"/>
      <c r="FK258" s="108"/>
      <c r="FL258" s="108"/>
      <c r="FM258" s="108"/>
      <c r="FN258" s="108"/>
      <c r="FO258" s="108"/>
      <c r="FP258" s="108"/>
      <c r="FQ258" s="108"/>
      <c r="FR258" s="108"/>
      <c r="FS258" s="108"/>
      <c r="FT258" s="108"/>
      <c r="FU258" s="108"/>
      <c r="FV258" s="108"/>
      <c r="FW258" s="108"/>
      <c r="FX258" s="108"/>
      <c r="FY258" s="108"/>
      <c r="FZ258" s="108"/>
      <c r="GA258" s="108"/>
      <c r="GB258" s="108"/>
      <c r="GC258" s="108"/>
      <c r="GD258" s="108"/>
      <c r="GE258" s="108"/>
      <c r="GF258" s="108"/>
      <c r="GG258" s="108"/>
      <c r="GH258" s="108"/>
      <c r="GI258" s="108"/>
      <c r="GJ258" s="108"/>
      <c r="GK258" s="108"/>
      <c r="GL258" s="108"/>
      <c r="GM258" s="108"/>
      <c r="GN258" s="108"/>
      <c r="GO258" s="108"/>
      <c r="GP258" s="108"/>
      <c r="GQ258" s="108"/>
      <c r="GR258" s="108"/>
      <c r="GS258" s="108"/>
      <c r="GT258" s="108"/>
      <c r="GU258" s="108"/>
      <c r="GV258" s="108"/>
      <c r="GW258" s="108"/>
      <c r="GX258" s="108"/>
      <c r="GY258" s="108"/>
      <c r="GZ258" s="108"/>
      <c r="HA258" s="108"/>
      <c r="HB258" s="108"/>
      <c r="HC258" s="108"/>
      <c r="HD258" s="108"/>
      <c r="HE258" s="108"/>
      <c r="HF258" s="108"/>
      <c r="HG258" s="108"/>
      <c r="HH258" s="108"/>
      <c r="HI258" s="108"/>
      <c r="HJ258" s="108"/>
      <c r="HK258" s="108"/>
      <c r="HL258" s="108"/>
      <c r="HM258" s="108"/>
      <c r="HN258" s="108"/>
      <c r="HO258" s="108"/>
      <c r="HP258" s="108"/>
      <c r="HQ258" s="108"/>
      <c r="HR258" s="108"/>
      <c r="HS258" s="108"/>
      <c r="HT258" s="108"/>
      <c r="HU258" s="108"/>
      <c r="HV258" s="108"/>
      <c r="HW258" s="108"/>
      <c r="HX258" s="108"/>
      <c r="HY258" s="108"/>
      <c r="HZ258" s="108"/>
      <c r="IA258" s="108"/>
      <c r="IB258" s="108"/>
      <c r="IC258" s="108"/>
      <c r="ID258" s="108"/>
      <c r="IE258" s="108"/>
      <c r="IF258" s="108"/>
      <c r="IG258" s="108"/>
      <c r="IH258" s="108"/>
      <c r="II258" s="108"/>
      <c r="IJ258" s="108"/>
      <c r="IK258" s="108"/>
      <c r="IL258" s="108"/>
      <c r="IM258" s="108"/>
      <c r="IN258" s="108"/>
      <c r="IO258" s="108"/>
      <c r="IP258" s="108"/>
      <c r="IQ258" s="108"/>
      <c r="IR258" s="108"/>
      <c r="IS258" s="108"/>
      <c r="IT258" s="108"/>
      <c r="IU258" s="108"/>
      <c r="IV258" s="108"/>
    </row>
    <row r="260" spans="1:26" s="119" customFormat="1" ht="12.75">
      <c r="A260" s="41"/>
      <c r="B260" s="41"/>
      <c r="C260" s="85" t="s">
        <v>246</v>
      </c>
      <c r="D260" s="85"/>
      <c r="E260" s="85"/>
      <c r="F260" s="85"/>
      <c r="G260" s="85"/>
      <c r="H260" s="85"/>
      <c r="I260" s="85"/>
      <c r="J260" s="85"/>
      <c r="K260" s="85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s="108" customFormat="1" ht="12.75">
      <c r="A261" t="s">
        <v>309</v>
      </c>
      <c r="B261" s="5">
        <f>(B228+B196+B204+B212+B220+B252+B244+B236)/B20</f>
        <v>-29.15855512863665</v>
      </c>
      <c r="C261" s="5">
        <f>(C228+C196+C204+C212+C220+C252+C244+C236)/C20</f>
        <v>-33.35069005992682</v>
      </c>
      <c r="D261" s="5">
        <f>(D228+D196+D204+D212+D220+D252+D244+D236)/D20</f>
        <v>-15.846731758033371</v>
      </c>
      <c r="E261" s="5">
        <f>(E228+E196+E204+E212+E220+E252+E244+E236)/E20</f>
        <v>0.4071546899683338</v>
      </c>
      <c r="F261" s="5">
        <f>(F228+F196+F204+F212+F220+F252+F244+F236)/F20</f>
        <v>7.059053105325735</v>
      </c>
      <c r="G261" s="5">
        <f>(G228+G196+G204+G212+G220+G252+G244+G236)/G20</f>
        <v>7.486706074050803</v>
      </c>
      <c r="H261" s="5">
        <f>(H228+H196+H204+H212+H220+H252+H244+H236)/H20</f>
        <v>5.712600601569339</v>
      </c>
      <c r="I261" s="5">
        <f>(I228+I196+I204+I212+I220+I252+I244+I236)/I20</f>
        <v>3.640757620592323</v>
      </c>
      <c r="J261" s="5">
        <f>(J228+J196+J204+J212+J220+J252+J244+J236)/J20</f>
        <v>1.8342595349241015</v>
      </c>
      <c r="K261" s="5">
        <f>(K228+K196+K204+K212+K220+K252+K244+K236)/K20</f>
        <v>0.35124358443047454</v>
      </c>
      <c r="L261" s="5">
        <f>(L228+L196+L204+L212+L220+L252+L244+L236)/L20</f>
        <v>-0.8758682975890197</v>
      </c>
      <c r="M261" s="5">
        <f>(M228+M196+M204+M212+M220+M252+M244+M236)/M20</f>
        <v>-1.9148659005209727</v>
      </c>
      <c r="N261" s="5">
        <f>(N228+N196+N204+N212+N220+N252+N244+N236)/N20</f>
        <v>-2.800266297212915</v>
      </c>
      <c r="O261" s="5">
        <f>(O228+O196+O204+O212+O220+O252+O244+O236)/O20</f>
        <v>-3.520381520627809</v>
      </c>
      <c r="P261" s="5">
        <f>(P228+P196+P204+P212+P220+P252+P244+P236)/P20</f>
        <v>-3.9965077045642965</v>
      </c>
      <c r="Q261" s="5">
        <f>(Q228+Q196+Q204+Q212+Q220+Q252+Q244+Q236)/Q20</f>
        <v>-4.046242741544553</v>
      </c>
      <c r="R261" s="5">
        <f>(R228+R196+R204+R212+R220+R252+R244+R236)/R20</f>
        <v>-3.339894970906284</v>
      </c>
      <c r="S261" s="5">
        <f>(S228+S196+S204+S212+S220+S252+S244+S236)/S20</f>
        <v>-1.3826739134042456</v>
      </c>
      <c r="T261" s="5">
        <f>(T228+T196+T204+T212+T220+T252+T244+T236)/T20</f>
        <v>2.4022760159311236</v>
      </c>
      <c r="U261" s="5">
        <f>(U228+U196+U204+U212+U220+U252+U244+U236)/U20</f>
        <v>8.345971669822642</v>
      </c>
      <c r="V261" s="5">
        <f>(V228+V196+V204+V212+V220+V252+V244+V236)/V20</f>
        <v>15.738455343596648</v>
      </c>
      <c r="W261" s="5">
        <f>(W228+W196+W204+W212+W220+W252+W244+W236)/W20</f>
        <v>21.349473901707324</v>
      </c>
      <c r="X261" s="5">
        <f>(X228+X196+X204+X212+X220+X252+X244+X236)/X20</f>
        <v>17.830212536080925</v>
      </c>
      <c r="Y261" s="5">
        <f>(Y228+Y196+Y204+Y212+Y220+Y252+Y244+Y236)/Y20</f>
        <v>-2.525711183363815</v>
      </c>
      <c r="Z261" s="5">
        <f>(Z228+Z196+Z204+Z212+Z220+Z252+Z244+Z236)/Z20</f>
        <v>-29.158555128636664</v>
      </c>
    </row>
    <row r="262" spans="1:26" s="108" customFormat="1" ht="12.75">
      <c r="A262" s="19" t="s">
        <v>307</v>
      </c>
      <c r="B262" s="19">
        <f>B256/B20</f>
        <v>-19.810669936854342</v>
      </c>
      <c r="C262" s="19">
        <f>C256/C20</f>
        <v>-32.55746546577372</v>
      </c>
      <c r="D262" s="19">
        <f>D256/D20</f>
        <v>-17.622647979410544</v>
      </c>
      <c r="E262" s="19">
        <f>E256/E20</f>
        <v>-0.3935693725948002</v>
      </c>
      <c r="F262" s="19">
        <f>F256/F20</f>
        <v>7.525502027957814</v>
      </c>
      <c r="G262" s="19">
        <f>G256/G20</f>
        <v>8.138759470337114</v>
      </c>
      <c r="H262" s="19">
        <f>H256/H20</f>
        <v>5.277903076217012</v>
      </c>
      <c r="I262" s="19">
        <f>I256/I20</f>
        <v>1.120892571495184</v>
      </c>
      <c r="J262" s="19">
        <f>J256/J20</f>
        <v>-3.33641667028573</v>
      </c>
      <c r="K262" s="19">
        <f>K256/K20</f>
        <v>-7.572126938936834</v>
      </c>
      <c r="L262" s="19">
        <f>L256/L20</f>
        <v>-11.230376011197173</v>
      </c>
      <c r="M262" s="19">
        <f>M256/M20</f>
        <v>-14.043483306854078</v>
      </c>
      <c r="N262" s="19">
        <f>N256/N20</f>
        <v>-15.824477933027588</v>
      </c>
      <c r="O262" s="19">
        <f>O256/O20</f>
        <v>-16.454306482070823</v>
      </c>
      <c r="P262" s="19">
        <f>P256/P20</f>
        <v>-15.83587411758027</v>
      </c>
      <c r="Q262" s="19">
        <f>Q256/Q20</f>
        <v>-13.81578838543252</v>
      </c>
      <c r="R262" s="19">
        <f>R256/R20</f>
        <v>-10.097170478504356</v>
      </c>
      <c r="S262" s="19">
        <f>S256/S20</f>
        <v>-4.192013009451546</v>
      </c>
      <c r="T262" s="19">
        <f>T256/T20</f>
        <v>4.492988188437403</v>
      </c>
      <c r="U262" s="19">
        <f>U256/U20</f>
        <v>16.25672238139483</v>
      </c>
      <c r="V262" s="19">
        <f>V256/V20</f>
        <v>30.082789278239645</v>
      </c>
      <c r="W262" s="19">
        <f>W256/W20</f>
        <v>41.63561621618187</v>
      </c>
      <c r="X262" s="19">
        <f>X256/X20</f>
        <v>40.925292222996404</v>
      </c>
      <c r="Y262" s="19">
        <f>Y256/Y20</f>
        <v>16.72969526600489</v>
      </c>
      <c r="Z262" s="19">
        <f>Z256/Z20</f>
        <v>-19.810669936854357</v>
      </c>
    </row>
    <row r="263" spans="1:26" s="121" customFormat="1" ht="12.75">
      <c r="A263" s="42"/>
      <c r="B263" s="42"/>
      <c r="C263" s="76" t="s">
        <v>247</v>
      </c>
      <c r="D263" s="76"/>
      <c r="E263" s="76"/>
      <c r="F263" s="76"/>
      <c r="G263" s="76"/>
      <c r="H263" s="76"/>
      <c r="I263" s="76"/>
      <c r="J263" s="76"/>
      <c r="K263" s="76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s="124" customFormat="1" ht="12.75">
      <c r="A264" s="53" t="s">
        <v>278</v>
      </c>
      <c r="B264" s="54">
        <f>$S$3*(3*B16+2*SIN(2*B15)+0.5*COS(5*B15))</f>
        <v>0.5</v>
      </c>
      <c r="C264" s="54">
        <f>$S$3*(3*C16+2*SIN(2*C15)+0.5*COS(5*C15))</f>
        <v>1.9058666578588226</v>
      </c>
      <c r="D264" s="54">
        <f>$S$3*(3*D16+2*SIN(2*D15)+0.5*COS(5*D15))</f>
        <v>2.7990381056766576</v>
      </c>
      <c r="E264" s="54">
        <f>$S$3*(3*E16+2*SIN(2*E15)+0.5*COS(5*E15))</f>
        <v>3.767766952966368</v>
      </c>
      <c r="F264" s="54">
        <f>$S$3*(3*F16+2*SIN(2*F15)+0.5*COS(5*F15))</f>
        <v>4.580127018922194</v>
      </c>
      <c r="G264" s="54">
        <f>$S$3*(3*G16+2*SIN(2*G15)+0.5*COS(5*G15))</f>
        <v>4.380740392011739</v>
      </c>
      <c r="H264" s="54">
        <f>$S$3*(3*H16+2*SIN(2*H15)+0.5*COS(5*H15))</f>
        <v>3.0000000000000004</v>
      </c>
      <c r="I264" s="54">
        <f>$S$3*(3*I16+2*SIN(2*I15)+0.5*COS(5*I15))</f>
        <v>1.4148145657226707</v>
      </c>
      <c r="J264" s="54">
        <f>$S$3*(3*J16+2*SIN(2*J15)+0.5*COS(5*J15))</f>
        <v>0.6160254037844386</v>
      </c>
      <c r="K264" s="54">
        <f>$S$3*(3*K16+2*SIN(2*K15)+0.5*COS(5*K15))</f>
        <v>0.4748737341529161</v>
      </c>
      <c r="L264" s="54">
        <f>$S$3*(3*L16+2*SIN(2*L15)+0.5*COS(5*L15))</f>
        <v>0.20096189432334172</v>
      </c>
      <c r="M264" s="54">
        <f>$S$3*(3*M16+2*SIN(2*M15)+0.5*COS(5*M15))</f>
        <v>-0.3529523872436977</v>
      </c>
      <c r="N264" s="54">
        <f>$S$3*(3*N16+2*SIN(2*N15)+0.5*COS(5*N15))</f>
        <v>-0.5000000000000001</v>
      </c>
      <c r="O264" s="54">
        <f>$S$3*(3*O16+2*SIN(2*O15)+0.5*COS(5*O15))</f>
        <v>0.094133342141177</v>
      </c>
      <c r="P264" s="54">
        <f>$S$3*(3*P16+2*SIN(2*P15)+0.5*COS(5*P15))</f>
        <v>0.6650635094610965</v>
      </c>
      <c r="Q264" s="54">
        <f>$S$3*(3*Q16+2*SIN(2*Q15)+0.5*COS(5*Q15))</f>
        <v>0.23223304703363135</v>
      </c>
      <c r="R264" s="54">
        <f>$S$3*(3*R16+2*SIN(2*R15)+0.5*COS(5*R15))</f>
        <v>-1.1160254037844355</v>
      </c>
      <c r="S264" s="54">
        <f>$S$3*(3*S16+2*SIN(2*S15)+0.5*COS(5*S15))</f>
        <v>-2.3807403920117394</v>
      </c>
      <c r="T264" s="54">
        <f>$S$3*(3*T16+2*SIN(2*T15)+0.5*COS(5*T15))</f>
        <v>-3.0000000000000004</v>
      </c>
      <c r="U264" s="54">
        <f>$S$3*(3*U16+2*SIN(2*U15)+0.5*COS(5*U15))</f>
        <v>-3.4148145657226694</v>
      </c>
      <c r="V264" s="54">
        <f>$S$3*(3*V16+2*SIN(2*V15)+0.5*COS(5*V15))</f>
        <v>-4.0801270189221945</v>
      </c>
      <c r="W264" s="54">
        <f>$S$3*(3*W16+2*SIN(2*W15)+0.5*COS(5*W15))</f>
        <v>-4.474873734152916</v>
      </c>
      <c r="X264" s="54">
        <f>$S$3*(3*X16+2*SIN(2*X15)+0.5*COS(5*X15))</f>
        <v>-3.665063509461099</v>
      </c>
      <c r="Y264" s="54">
        <f>$S$3*(3*Y16+2*SIN(2*Y15)+0.5*COS(5*Y15))</f>
        <v>-1.647047612756302</v>
      </c>
      <c r="Z264" s="54">
        <f>$S$3*(3*Z16+2*SIN(2*Z15)+0.5*COS(5*Z15))</f>
        <v>0.4999999999999983</v>
      </c>
    </row>
    <row r="265" spans="1:26" s="124" customFormat="1" ht="12.75">
      <c r="A265" s="53" t="s">
        <v>279</v>
      </c>
      <c r="B265" s="54">
        <f>$S$4*(5*COS(0.5*B15)+3*COS(3*B15)+2*COS(7*B15)+SIN(8*B15))</f>
        <v>10</v>
      </c>
      <c r="C265" s="54">
        <f>$S$4*(5*COS(0.5*C15)+3*COS(3*C15)+2*COS(7*C15)+SIN(8*C15))</f>
        <v>7.426931964008092</v>
      </c>
      <c r="D265" s="54">
        <f>$S$4*(5*COS(0.5*D15)+3*COS(3*D15)+2*COS(7*D15)+SIN(8*D15))</f>
        <v>2.2315529200920254</v>
      </c>
      <c r="E265" s="54">
        <f>$S$4*(5*COS(0.5*E15)+3*COS(3*E15)+2*COS(7*E15)+SIN(8*E15))</f>
        <v>3.9122908813698856</v>
      </c>
      <c r="F265" s="54">
        <f>$S$4*(5*COS(0.5*F15)+3*COS(3*F15)+2*COS(7*F15)+SIN(8*F15))</f>
        <v>3.196152422706634</v>
      </c>
      <c r="G265" s="54">
        <f>$S$4*(5*COS(0.5*G15)+3*COS(3*G15)+2*COS(7*G15)+SIN(8*G15))</f>
        <v>-0.9524306984660426</v>
      </c>
      <c r="H265" s="54">
        <f>$S$4*(5*COS(0.5*H15)+3*COS(3*H15)+2*COS(7*H15)+SIN(8*H15))</f>
        <v>3.535533905932736</v>
      </c>
      <c r="I265" s="54">
        <f>$S$4*(5*COS(0.5*I15)+3*COS(3*I15)+2*COS(7*I15)+SIN(8*I15))</f>
        <v>7.963004544965821</v>
      </c>
      <c r="J265" s="54">
        <f>$S$4*(5*COS(0.5*J15)+3*COS(3*J15)+2*COS(7*J15)+SIN(8*J15))</f>
        <v>3.6339745962155643</v>
      </c>
      <c r="K265" s="54">
        <f>$S$4*(5*COS(0.5*K15)+3*COS(3*K15)+2*COS(7*K15)+SIN(8*K15))</f>
        <v>2.620523943011996</v>
      </c>
      <c r="L265" s="54">
        <f>$S$4*(5*COS(0.5*L15)+3*COS(3*L15)+2*COS(7*L15)+SIN(8*L15))</f>
        <v>3.89217143686592</v>
      </c>
      <c r="M265" s="54">
        <f>$S$4*(5*COS(0.5*M15)+3*COS(3*M15)+2*COS(7*M15)+SIN(8*M15))</f>
        <v>-1.8170766960387768</v>
      </c>
      <c r="N265" s="54">
        <f>$S$4*(5*COS(0.5*N15)+3*COS(3*N15)+2*COS(7*N15)+SIN(8*N15))</f>
        <v>-5.000000000000001</v>
      </c>
      <c r="O265" s="54">
        <f>$S$4*(5*COS(0.5*O15)+3*COS(3*O15)+2*COS(7*O15)+SIN(8*O15))</f>
        <v>-1.3902878106704215</v>
      </c>
      <c r="P265" s="54">
        <f>$S$4*(5*COS(0.5*P15)+3*COS(3*P15)+2*COS(7*P15)+SIN(8*P15))</f>
        <v>-0.428069821728164</v>
      </c>
      <c r="Q265" s="54">
        <f>$S$4*(5*COS(0.5*Q15)+3*COS(3*Q15)+2*COS(7*Q15)+SIN(8*Q15))</f>
        <v>-1.2063103806389024</v>
      </c>
      <c r="R265" s="54">
        <f>$S$4*(5*COS(0.5*R15)+3*COS(3*R15)+2*COS(7*R15)+SIN(8*R15))</f>
        <v>0.3660254037844374</v>
      </c>
      <c r="S265" s="54">
        <f>$S$4*(5*COS(0.5*S15)+3*COS(3*S15)+2*COS(7*S15)+SIN(8*S15))</f>
        <v>0.1433394473097368</v>
      </c>
      <c r="T265" s="54">
        <f>$S$4*(5*COS(0.5*T15)+3*COS(3*T15)+2*COS(7*T15)+SIN(8*T15))</f>
        <v>-3.5355339059327378</v>
      </c>
      <c r="U265" s="54">
        <f>$S$4*(5*COS(0.5*U15)+3*COS(3*U15)+2*COS(7*U15)+SIN(8*U15))</f>
        <v>-7.153913293809513</v>
      </c>
      <c r="V265" s="54">
        <f>$S$4*(5*COS(0.5*V15)+3*COS(3*V15)+2*COS(7*V15)+SIN(8*V15))</f>
        <v>-7.196152422706634</v>
      </c>
      <c r="W265" s="54">
        <f>$S$4*(5*COS(0.5*W15)+3*COS(3*W15)+2*COS(7*W15)+SIN(8*W15))</f>
        <v>-5.3265044437429765</v>
      </c>
      <c r="X265" s="54">
        <f>$S$4*(5*COS(0.5*X15)+3*COS(3*X15)+2*COS(7*X15)+SIN(8*X15))</f>
        <v>-5.695654535229783</v>
      </c>
      <c r="Y265" s="54">
        <f>$S$4*(5*COS(0.5*Y15)+3*COS(3*Y15)+2*COS(7*Y15)+SIN(8*Y15))</f>
        <v>-4.219567457298882</v>
      </c>
      <c r="Z265" s="54">
        <f>$S$4*(5*COS(0.5*Z15)+3*COS(3*Z15)+2*COS(7*Z15)+SIN(8*Z15))</f>
        <v>-1.960237527853792E-15</v>
      </c>
    </row>
    <row r="266" spans="1:256" s="111" customFormat="1" ht="12.75">
      <c r="A266" s="60" t="s">
        <v>315</v>
      </c>
      <c r="B266" s="69">
        <f>B268*B83+B269*B84</f>
        <v>1.0318309592430406</v>
      </c>
      <c r="C266" s="69">
        <f>C268*C83+C269*C84</f>
        <v>2.8958378731986505</v>
      </c>
      <c r="D266" s="69">
        <f>D268*D83+D269*D84</f>
        <v>2.2691672120957764</v>
      </c>
      <c r="E266" s="69">
        <f>E268*E83+E269*E84</f>
        <v>0.6748658000381781</v>
      </c>
      <c r="F266" s="69">
        <f>F268*F83+F269*F84</f>
        <v>-1.3507605688698947</v>
      </c>
      <c r="G266" s="69">
        <f>G268*G83+G269*G84</f>
        <v>-2.738310959581242</v>
      </c>
      <c r="H266" s="69">
        <f>H268*H83+H269*H84</f>
        <v>-2.545380949649733</v>
      </c>
      <c r="I266" s="69">
        <f>I268*I83+I269*I84</f>
        <v>-1.4094448854755806</v>
      </c>
      <c r="J266" s="69">
        <f>J268*J83+J269*J84</f>
        <v>-0.6700753393348738</v>
      </c>
      <c r="K266" s="69">
        <f>K268*K83+K269*K84</f>
        <v>-0.5380716364193852</v>
      </c>
      <c r="L266" s="69">
        <f>L268*L83+L269*L84</f>
        <v>-0.22843708402262916</v>
      </c>
      <c r="M266" s="69">
        <f>M268*M83+M269*M84</f>
        <v>0.38858931586125284</v>
      </c>
      <c r="N266" s="69">
        <f>N268*N83+N269*N84</f>
        <v>0.5141066675092356</v>
      </c>
      <c r="O266" s="69">
        <f>O268*O83+O269*O84</f>
        <v>-0.08676162245235647</v>
      </c>
      <c r="P266" s="69">
        <f>P268*P83+P269*P84</f>
        <v>-0.5220354921783167</v>
      </c>
      <c r="Q266" s="69">
        <f>Q268*Q83+Q269*Q84</f>
        <v>-0.1440711390195891</v>
      </c>
      <c r="R266" s="69">
        <f>R268*R83+R269*R84</f>
        <v>0.4770131909933304</v>
      </c>
      <c r="S266" s="69">
        <f>S268*S83+S269*S84</f>
        <v>0.4780031430612526</v>
      </c>
      <c r="T266" s="69">
        <f>T268*T83+T269*T84</f>
        <v>-0.21307673821386547</v>
      </c>
      <c r="U266" s="69">
        <f>U268*U83+U269*U84</f>
        <v>-1.3857319321033932</v>
      </c>
      <c r="V266" s="69">
        <f>V268*V83+V269*V84</f>
        <v>-3.3581184718431616</v>
      </c>
      <c r="W266" s="69">
        <f>W268*W83+W269*W84</f>
        <v>-5.925110055373298</v>
      </c>
      <c r="X266" s="69">
        <f>X268*X83+X269*X84</f>
        <v>-6.744155325617244</v>
      </c>
      <c r="Y266" s="69">
        <f>Y268*Y83+Y269*Y84</f>
        <v>-3.573450661725787</v>
      </c>
      <c r="Z266" s="69">
        <f>Z268*Z83+Z269*Z84</f>
        <v>1.0318309592430372</v>
      </c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110"/>
      <c r="CN266" s="110"/>
      <c r="CO266" s="110"/>
      <c r="CP266" s="110"/>
      <c r="CQ266" s="110"/>
      <c r="CR266" s="110"/>
      <c r="CS266" s="110"/>
      <c r="CT266" s="110"/>
      <c r="CU266" s="110"/>
      <c r="CV266" s="110"/>
      <c r="CW266" s="110"/>
      <c r="CX266" s="110"/>
      <c r="CY266" s="110"/>
      <c r="CZ266" s="110"/>
      <c r="DA266" s="110"/>
      <c r="DB266" s="110"/>
      <c r="DC266" s="110"/>
      <c r="DD266" s="110"/>
      <c r="DE266" s="110"/>
      <c r="DF266" s="110"/>
      <c r="DG266" s="110"/>
      <c r="DH266" s="110"/>
      <c r="DI266" s="110"/>
      <c r="DJ266" s="110"/>
      <c r="DK266" s="110"/>
      <c r="DL266" s="110"/>
      <c r="DM266" s="110"/>
      <c r="DN266" s="110"/>
      <c r="DO266" s="110"/>
      <c r="DP266" s="110"/>
      <c r="DQ266" s="110"/>
      <c r="DR266" s="110"/>
      <c r="DS266" s="110"/>
      <c r="DT266" s="110"/>
      <c r="DU266" s="110"/>
      <c r="DV266" s="110"/>
      <c r="DW266" s="110"/>
      <c r="DX266" s="110"/>
      <c r="DY266" s="110"/>
      <c r="DZ266" s="110"/>
      <c r="EA266" s="110"/>
      <c r="EB266" s="110"/>
      <c r="EC266" s="110"/>
      <c r="ED266" s="110"/>
      <c r="EE266" s="110"/>
      <c r="EF266" s="110"/>
      <c r="EG266" s="110"/>
      <c r="EH266" s="110"/>
      <c r="EI266" s="110"/>
      <c r="EJ266" s="110"/>
      <c r="EK266" s="110"/>
      <c r="EL266" s="110"/>
      <c r="EM266" s="110"/>
      <c r="EN266" s="110"/>
      <c r="EO266" s="110"/>
      <c r="EP266" s="110"/>
      <c r="EQ266" s="110"/>
      <c r="ER266" s="110"/>
      <c r="ES266" s="110"/>
      <c r="ET266" s="110"/>
      <c r="EU266" s="110"/>
      <c r="EV266" s="110"/>
      <c r="EW266" s="110"/>
      <c r="EX266" s="110"/>
      <c r="EY266" s="110"/>
      <c r="EZ266" s="110"/>
      <c r="FA266" s="110"/>
      <c r="FB266" s="110"/>
      <c r="FC266" s="110"/>
      <c r="FD266" s="110"/>
      <c r="FE266" s="110"/>
      <c r="FF266" s="110"/>
      <c r="FG266" s="110"/>
      <c r="FH266" s="110"/>
      <c r="FI266" s="110"/>
      <c r="FJ266" s="110"/>
      <c r="FK266" s="110"/>
      <c r="FL266" s="110"/>
      <c r="FM266" s="110"/>
      <c r="FN266" s="110"/>
      <c r="FO266" s="110"/>
      <c r="FP266" s="110"/>
      <c r="FQ266" s="110"/>
      <c r="FR266" s="110"/>
      <c r="FS266" s="110"/>
      <c r="FT266" s="110"/>
      <c r="FU266" s="110"/>
      <c r="FV266" s="110"/>
      <c r="FW266" s="110"/>
      <c r="FX266" s="110"/>
      <c r="FY266" s="110"/>
      <c r="FZ266" s="110"/>
      <c r="GA266" s="110"/>
      <c r="GB266" s="110"/>
      <c r="GC266" s="110"/>
      <c r="GD266" s="110"/>
      <c r="GE266" s="110"/>
      <c r="GF266" s="110"/>
      <c r="GG266" s="110"/>
      <c r="GH266" s="110"/>
      <c r="GI266" s="110"/>
      <c r="GJ266" s="110"/>
      <c r="GK266" s="110"/>
      <c r="GL266" s="110"/>
      <c r="GM266" s="110"/>
      <c r="GN266" s="110"/>
      <c r="GO266" s="110"/>
      <c r="GP266" s="110"/>
      <c r="GQ266" s="110"/>
      <c r="GR266" s="110"/>
      <c r="GS266" s="110"/>
      <c r="GT266" s="110"/>
      <c r="GU266" s="110"/>
      <c r="GV266" s="110"/>
      <c r="GW266" s="110"/>
      <c r="GX266" s="110"/>
      <c r="GY266" s="110"/>
      <c r="GZ266" s="110"/>
      <c r="HA266" s="110"/>
      <c r="HB266" s="110"/>
      <c r="HC266" s="110"/>
      <c r="HD266" s="110"/>
      <c r="HE266" s="110"/>
      <c r="HF266" s="110"/>
      <c r="HG266" s="110"/>
      <c r="HH266" s="110"/>
      <c r="HI266" s="110"/>
      <c r="HJ266" s="110"/>
      <c r="HK266" s="110"/>
      <c r="HL266" s="110"/>
      <c r="HM266" s="110"/>
      <c r="HN266" s="110"/>
      <c r="HO266" s="110"/>
      <c r="HP266" s="110"/>
      <c r="HQ266" s="110"/>
      <c r="HR266" s="110"/>
      <c r="HS266" s="110"/>
      <c r="HT266" s="110"/>
      <c r="HU266" s="110"/>
      <c r="HV266" s="110"/>
      <c r="HW266" s="110"/>
      <c r="HX266" s="110"/>
      <c r="HY266" s="110"/>
      <c r="HZ266" s="110"/>
      <c r="IA266" s="110"/>
      <c r="IB266" s="110"/>
      <c r="IC266" s="110"/>
      <c r="ID266" s="110"/>
      <c r="IE266" s="110"/>
      <c r="IF266" s="110"/>
      <c r="IG266" s="110"/>
      <c r="IH266" s="110"/>
      <c r="II266" s="110"/>
      <c r="IJ266" s="110"/>
      <c r="IK266" s="110"/>
      <c r="IL266" s="110"/>
      <c r="IM266" s="110"/>
      <c r="IN266" s="110"/>
      <c r="IO266" s="110"/>
      <c r="IP266" s="110"/>
      <c r="IQ266" s="110"/>
      <c r="IR266" s="110"/>
      <c r="IS266" s="110"/>
      <c r="IT266" s="110"/>
      <c r="IU266" s="110"/>
      <c r="IV266" s="110"/>
    </row>
    <row r="267" spans="1:256" s="111" customFormat="1" ht="12.75">
      <c r="A267" s="55" t="s">
        <v>316</v>
      </c>
      <c r="B267" s="67">
        <f>B277*B94+B278*B95</f>
        <v>30.935343751699214</v>
      </c>
      <c r="C267" s="67">
        <f>C277*C94+C278*C95</f>
        <v>17.58113696694379</v>
      </c>
      <c r="D267" s="67">
        <f>D277*D94+D278*D95</f>
        <v>2.9506897282422373</v>
      </c>
      <c r="E267" s="67">
        <f>E277*E94+E278*E95</f>
        <v>1.170311595799571</v>
      </c>
      <c r="F267" s="67">
        <f>F277*F94+F278*F95</f>
        <v>-1.5684704813304016</v>
      </c>
      <c r="G267" s="67">
        <f>G277*G94+G278*G95</f>
        <v>0.968407047808625</v>
      </c>
      <c r="H267" s="67">
        <f>H277*H94+H278*H95</f>
        <v>-4.732452310093642</v>
      </c>
      <c r="I267" s="67">
        <f>I277*I94+I278*I95</f>
        <v>-12.159097516473832</v>
      </c>
      <c r="J267" s="67">
        <f>J277*J94+J278*J95</f>
        <v>-5.939390417324541</v>
      </c>
      <c r="K267" s="67">
        <f>K277*K94+K278*K95</f>
        <v>-4.433709891830087</v>
      </c>
      <c r="L267" s="67">
        <f>L277*L94+L278*L95</f>
        <v>-6.671013900560004</v>
      </c>
      <c r="M267" s="67">
        <f>M277*M94+M278*M95</f>
        <v>3.095485103989022</v>
      </c>
      <c r="N267" s="67">
        <f>N277*N94+N278*N95</f>
        <v>8.2797647563337</v>
      </c>
      <c r="O267" s="67">
        <f>O277*O94+O278*O95</f>
        <v>2.1703409816816346</v>
      </c>
      <c r="P267" s="67">
        <f>P277*P94+P278*P95</f>
        <v>0.6015109060988457</v>
      </c>
      <c r="Q267" s="67">
        <f>Q277*Q94+Q278*Q95</f>
        <v>1.414013897158561</v>
      </c>
      <c r="R267" s="67">
        <f>R277*R94+R278*R95</f>
        <v>-0.30937180334459446</v>
      </c>
      <c r="S267" s="67">
        <f>S277*S94+S278*S95</f>
        <v>-0.05862633268573266</v>
      </c>
      <c r="T267" s="67">
        <f>T277*T94+T278*T95</f>
        <v>-0.5149857700453896</v>
      </c>
      <c r="U267" s="67">
        <f>U277*U94+U278*U95</f>
        <v>-5.822980106760244</v>
      </c>
      <c r="V267" s="67">
        <f>V277*V94+V278*V95</f>
        <v>-11.259385737412881</v>
      </c>
      <c r="W267" s="67">
        <f>W277*W94+W278*W95</f>
        <v>-12.37639819099348</v>
      </c>
      <c r="X267" s="67">
        <f>X277*X94+X278*X95</f>
        <v>-16.84721970974449</v>
      </c>
      <c r="Y267" s="67">
        <f>Y277*Y94+Y278*Y95</f>
        <v>-13.829943523559237</v>
      </c>
      <c r="Z267" s="67">
        <f>Z277*Z94+Z278*Z95</f>
        <v>-6.0640621759138155E-15</v>
      </c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10"/>
      <c r="BL267" s="110"/>
      <c r="BM267" s="110"/>
      <c r="BN267" s="110"/>
      <c r="BO267" s="110"/>
      <c r="BP267" s="110"/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/>
      <c r="CD267" s="110"/>
      <c r="CE267" s="110"/>
      <c r="CF267" s="110"/>
      <c r="CG267" s="110"/>
      <c r="CH267" s="110"/>
      <c r="CI267" s="110"/>
      <c r="CJ267" s="110"/>
      <c r="CK267" s="110"/>
      <c r="CL267" s="110"/>
      <c r="CM267" s="110"/>
      <c r="CN267" s="110"/>
      <c r="CO267" s="110"/>
      <c r="CP267" s="110"/>
      <c r="CQ267" s="110"/>
      <c r="CR267" s="110"/>
      <c r="CS267" s="110"/>
      <c r="CT267" s="110"/>
      <c r="CU267" s="110"/>
      <c r="CV267" s="110"/>
      <c r="CW267" s="110"/>
      <c r="CX267" s="110"/>
      <c r="CY267" s="110"/>
      <c r="CZ267" s="110"/>
      <c r="DA267" s="110"/>
      <c r="DB267" s="110"/>
      <c r="DC267" s="110"/>
      <c r="DD267" s="110"/>
      <c r="DE267" s="110"/>
      <c r="DF267" s="110"/>
      <c r="DG267" s="110"/>
      <c r="DH267" s="110"/>
      <c r="DI267" s="110"/>
      <c r="DJ267" s="110"/>
      <c r="DK267" s="110"/>
      <c r="DL267" s="110"/>
      <c r="DM267" s="110"/>
      <c r="DN267" s="110"/>
      <c r="DO267" s="110"/>
      <c r="DP267" s="110"/>
      <c r="DQ267" s="110"/>
      <c r="DR267" s="110"/>
      <c r="DS267" s="110"/>
      <c r="DT267" s="110"/>
      <c r="DU267" s="110"/>
      <c r="DV267" s="110"/>
      <c r="DW267" s="110"/>
      <c r="DX267" s="110"/>
      <c r="DY267" s="110"/>
      <c r="DZ267" s="110"/>
      <c r="EA267" s="110"/>
      <c r="EB267" s="110"/>
      <c r="EC267" s="110"/>
      <c r="ED267" s="110"/>
      <c r="EE267" s="110"/>
      <c r="EF267" s="110"/>
      <c r="EG267" s="110"/>
      <c r="EH267" s="110"/>
      <c r="EI267" s="110"/>
      <c r="EJ267" s="110"/>
      <c r="EK267" s="110"/>
      <c r="EL267" s="110"/>
      <c r="EM267" s="110"/>
      <c r="EN267" s="110"/>
      <c r="EO267" s="110"/>
      <c r="EP267" s="110"/>
      <c r="EQ267" s="110"/>
      <c r="ER267" s="110"/>
      <c r="ES267" s="110"/>
      <c r="ET267" s="110"/>
      <c r="EU267" s="110"/>
      <c r="EV267" s="110"/>
      <c r="EW267" s="110"/>
      <c r="EX267" s="110"/>
      <c r="EY267" s="110"/>
      <c r="EZ267" s="110"/>
      <c r="FA267" s="110"/>
      <c r="FB267" s="110"/>
      <c r="FC267" s="110"/>
      <c r="FD267" s="110"/>
      <c r="FE267" s="110"/>
      <c r="FF267" s="110"/>
      <c r="FG267" s="110"/>
      <c r="FH267" s="110"/>
      <c r="FI267" s="110"/>
      <c r="FJ267" s="110"/>
      <c r="FK267" s="110"/>
      <c r="FL267" s="110"/>
      <c r="FM267" s="110"/>
      <c r="FN267" s="110"/>
      <c r="FO267" s="110"/>
      <c r="FP267" s="110"/>
      <c r="FQ267" s="110"/>
      <c r="FR267" s="110"/>
      <c r="FS267" s="110"/>
      <c r="FT267" s="110"/>
      <c r="FU267" s="110"/>
      <c r="FV267" s="110"/>
      <c r="FW267" s="110"/>
      <c r="FX267" s="110"/>
      <c r="FY267" s="110"/>
      <c r="FZ267" s="110"/>
      <c r="GA267" s="110"/>
      <c r="GB267" s="110"/>
      <c r="GC267" s="110"/>
      <c r="GD267" s="110"/>
      <c r="GE267" s="110"/>
      <c r="GF267" s="110"/>
      <c r="GG267" s="110"/>
      <c r="GH267" s="110"/>
      <c r="GI267" s="110"/>
      <c r="GJ267" s="110"/>
      <c r="GK267" s="110"/>
      <c r="GL267" s="110"/>
      <c r="GM267" s="110"/>
      <c r="GN267" s="110"/>
      <c r="GO267" s="110"/>
      <c r="GP267" s="110"/>
      <c r="GQ267" s="110"/>
      <c r="GR267" s="110"/>
      <c r="GS267" s="110"/>
      <c r="GT267" s="110"/>
      <c r="GU267" s="110"/>
      <c r="GV267" s="110"/>
      <c r="GW267" s="110"/>
      <c r="GX267" s="110"/>
      <c r="GY267" s="110"/>
      <c r="GZ267" s="110"/>
      <c r="HA267" s="110"/>
      <c r="HB267" s="110"/>
      <c r="HC267" s="110"/>
      <c r="HD267" s="110"/>
      <c r="HE267" s="110"/>
      <c r="HF267" s="110"/>
      <c r="HG267" s="110"/>
      <c r="HH267" s="110"/>
      <c r="HI267" s="110"/>
      <c r="HJ267" s="110"/>
      <c r="HK267" s="110"/>
      <c r="HL267" s="110"/>
      <c r="HM267" s="110"/>
      <c r="HN267" s="110"/>
      <c r="HO267" s="110"/>
      <c r="HP267" s="110"/>
      <c r="HQ267" s="110"/>
      <c r="HR267" s="110"/>
      <c r="HS267" s="110"/>
      <c r="HT267" s="110"/>
      <c r="HU267" s="110"/>
      <c r="HV267" s="110"/>
      <c r="HW267" s="110"/>
      <c r="HX267" s="110"/>
      <c r="HY267" s="110"/>
      <c r="HZ267" s="110"/>
      <c r="IA267" s="110"/>
      <c r="IB267" s="110"/>
      <c r="IC267" s="110"/>
      <c r="ID267" s="110"/>
      <c r="IE267" s="110"/>
      <c r="IF267" s="110"/>
      <c r="IG267" s="110"/>
      <c r="IH267" s="110"/>
      <c r="II267" s="110"/>
      <c r="IJ267" s="110"/>
      <c r="IK267" s="110"/>
      <c r="IL267" s="110"/>
      <c r="IM267" s="110"/>
      <c r="IN267" s="110"/>
      <c r="IO267" s="110"/>
      <c r="IP267" s="110"/>
      <c r="IQ267" s="110"/>
      <c r="IR267" s="110"/>
      <c r="IS267" s="110"/>
      <c r="IT267" s="110"/>
      <c r="IU267" s="110"/>
      <c r="IV267" s="110"/>
    </row>
    <row r="268" spans="1:256" s="112" customFormat="1" ht="12.75">
      <c r="A268" s="3" t="s">
        <v>248</v>
      </c>
      <c r="B268" s="55">
        <f>B264*COS(RADIANS($F$4))</f>
        <v>0.25000000000000006</v>
      </c>
      <c r="C268" s="55">
        <f>C264*COS(RADIANS($F$4))</f>
        <v>0.9529333289294115</v>
      </c>
      <c r="D268" s="55">
        <f>D264*COS(RADIANS($F$4))</f>
        <v>1.399519052838329</v>
      </c>
      <c r="E268" s="55">
        <f>E264*COS(RADIANS($F$4))</f>
        <v>1.8838834764831844</v>
      </c>
      <c r="F268" s="55">
        <f>F264*COS(RADIANS($F$4))</f>
        <v>2.2900635094610973</v>
      </c>
      <c r="G268" s="55">
        <f>G264*COS(RADIANS($F$4))</f>
        <v>2.19037019600587</v>
      </c>
      <c r="H268" s="55">
        <f>H264*COS(RADIANS($F$4))</f>
        <v>1.5000000000000004</v>
      </c>
      <c r="I268" s="55">
        <f>I264*COS(RADIANS($F$4))</f>
        <v>0.7074072828613355</v>
      </c>
      <c r="J268" s="55">
        <f>J264*COS(RADIANS($F$4))</f>
        <v>0.30801270189221935</v>
      </c>
      <c r="K268" s="55">
        <f>K264*COS(RADIANS($F$4))</f>
        <v>0.2374368670764581</v>
      </c>
      <c r="L268" s="55">
        <f>L264*COS(RADIANS($F$4))</f>
        <v>0.10048094716167089</v>
      </c>
      <c r="M268" s="55">
        <f>M264*COS(RADIANS($F$4))</f>
        <v>-0.17647619362184888</v>
      </c>
      <c r="N268" s="55">
        <f>N264*COS(RADIANS($F$4))</f>
        <v>-0.2500000000000001</v>
      </c>
      <c r="O268" s="55">
        <f>O264*COS(RADIANS($F$4))</f>
        <v>0.04706667107058851</v>
      </c>
      <c r="P268" s="55">
        <f>P264*COS(RADIANS($F$4))</f>
        <v>0.3325317547305483</v>
      </c>
      <c r="Q268" s="55">
        <f>Q264*COS(RADIANS($F$4))</f>
        <v>0.1161165235168157</v>
      </c>
      <c r="R268" s="55">
        <f>R264*COS(RADIANS($F$4))</f>
        <v>-0.5580127018922179</v>
      </c>
      <c r="S268" s="55">
        <f>S264*COS(RADIANS($F$4))</f>
        <v>-1.19037019600587</v>
      </c>
      <c r="T268" s="55">
        <f>T264*COS(RADIANS($F$4))</f>
        <v>-1.5000000000000004</v>
      </c>
      <c r="U268" s="55">
        <f>U264*COS(RADIANS($F$4))</f>
        <v>-1.7074072828613351</v>
      </c>
      <c r="V268" s="55">
        <f>V264*COS(RADIANS($F$4))</f>
        <v>-2.0400635094610977</v>
      </c>
      <c r="W268" s="55">
        <f>W264*COS(RADIANS($F$4))</f>
        <v>-2.2374368670764584</v>
      </c>
      <c r="X268" s="55">
        <f>X264*COS(RADIANS($F$4))</f>
        <v>-1.83253175473055</v>
      </c>
      <c r="Y268" s="55">
        <f>Y264*COS(RADIANS($F$4))</f>
        <v>-0.8235238063781513</v>
      </c>
      <c r="Z268" s="55">
        <f>Z264*COS(RADIANS($F$4))</f>
        <v>0.2499999999999992</v>
      </c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  <c r="DH268" s="111"/>
      <c r="DI268" s="111"/>
      <c r="DJ268" s="111"/>
      <c r="DK268" s="111"/>
      <c r="DL268" s="111"/>
      <c r="DM268" s="111"/>
      <c r="DN268" s="111"/>
      <c r="DO268" s="111"/>
      <c r="DP268" s="111"/>
      <c r="DQ268" s="111"/>
      <c r="DR268" s="111"/>
      <c r="DS268" s="111"/>
      <c r="DT268" s="111"/>
      <c r="DU268" s="111"/>
      <c r="DV268" s="111"/>
      <c r="DW268" s="111"/>
      <c r="DX268" s="111"/>
      <c r="DY268" s="111"/>
      <c r="DZ268" s="111"/>
      <c r="EA268" s="111"/>
      <c r="EB268" s="111"/>
      <c r="EC268" s="111"/>
      <c r="ED268" s="111"/>
      <c r="EE268" s="111"/>
      <c r="EF268" s="111"/>
      <c r="EG268" s="111"/>
      <c r="EH268" s="111"/>
      <c r="EI268" s="111"/>
      <c r="EJ268" s="111"/>
      <c r="EK268" s="111"/>
      <c r="EL268" s="111"/>
      <c r="EM268" s="111"/>
      <c r="EN268" s="111"/>
      <c r="EO268" s="111"/>
      <c r="EP268" s="111"/>
      <c r="EQ268" s="111"/>
      <c r="ER268" s="111"/>
      <c r="ES268" s="111"/>
      <c r="ET268" s="111"/>
      <c r="EU268" s="111"/>
      <c r="EV268" s="111"/>
      <c r="EW268" s="111"/>
      <c r="EX268" s="111"/>
      <c r="EY268" s="111"/>
      <c r="EZ268" s="111"/>
      <c r="FA268" s="111"/>
      <c r="FB268" s="111"/>
      <c r="FC268" s="111"/>
      <c r="FD268" s="111"/>
      <c r="FE268" s="111"/>
      <c r="FF268" s="111"/>
      <c r="FG268" s="111"/>
      <c r="FH268" s="111"/>
      <c r="FI268" s="111"/>
      <c r="FJ268" s="111"/>
      <c r="FK268" s="111"/>
      <c r="FL268" s="111"/>
      <c r="FM268" s="111"/>
      <c r="FN268" s="111"/>
      <c r="FO268" s="111"/>
      <c r="FP268" s="111"/>
      <c r="FQ268" s="111"/>
      <c r="FR268" s="111"/>
      <c r="FS268" s="111"/>
      <c r="FT268" s="111"/>
      <c r="FU268" s="111"/>
      <c r="FV268" s="111"/>
      <c r="FW268" s="111"/>
      <c r="FX268" s="111"/>
      <c r="FY268" s="111"/>
      <c r="FZ268" s="111"/>
      <c r="GA268" s="111"/>
      <c r="GB268" s="111"/>
      <c r="GC268" s="111"/>
      <c r="GD268" s="111"/>
      <c r="GE268" s="111"/>
      <c r="GF268" s="111"/>
      <c r="GG268" s="111"/>
      <c r="GH268" s="111"/>
      <c r="GI268" s="111"/>
      <c r="GJ268" s="111"/>
      <c r="GK268" s="111"/>
      <c r="GL268" s="111"/>
      <c r="GM268" s="111"/>
      <c r="GN268" s="111"/>
      <c r="GO268" s="111"/>
      <c r="GP268" s="111"/>
      <c r="GQ268" s="111"/>
      <c r="GR268" s="111"/>
      <c r="GS268" s="111"/>
      <c r="GT268" s="111"/>
      <c r="GU268" s="111"/>
      <c r="GV268" s="111"/>
      <c r="GW268" s="111"/>
      <c r="GX268" s="111"/>
      <c r="GY268" s="111"/>
      <c r="GZ268" s="111"/>
      <c r="HA268" s="111"/>
      <c r="HB268" s="111"/>
      <c r="HC268" s="111"/>
      <c r="HD268" s="111"/>
      <c r="HE268" s="111"/>
      <c r="HF268" s="111"/>
      <c r="HG268" s="111"/>
      <c r="HH268" s="111"/>
      <c r="HI268" s="111"/>
      <c r="HJ268" s="111"/>
      <c r="HK268" s="111"/>
      <c r="HL268" s="111"/>
      <c r="HM268" s="111"/>
      <c r="HN268" s="111"/>
      <c r="HO268" s="111"/>
      <c r="HP268" s="111"/>
      <c r="HQ268" s="111"/>
      <c r="HR268" s="111"/>
      <c r="HS268" s="111"/>
      <c r="HT268" s="111"/>
      <c r="HU268" s="111"/>
      <c r="HV268" s="111"/>
      <c r="HW268" s="111"/>
      <c r="HX268" s="111"/>
      <c r="HY268" s="111"/>
      <c r="HZ268" s="111"/>
      <c r="IA268" s="111"/>
      <c r="IB268" s="111"/>
      <c r="IC268" s="111"/>
      <c r="ID268" s="111"/>
      <c r="IE268" s="111"/>
      <c r="IF268" s="111"/>
      <c r="IG268" s="111"/>
      <c r="IH268" s="111"/>
      <c r="II268" s="111"/>
      <c r="IJ268" s="111"/>
      <c r="IK268" s="111"/>
      <c r="IL268" s="111"/>
      <c r="IM268" s="111"/>
      <c r="IN268" s="111"/>
      <c r="IO268" s="111"/>
      <c r="IP268" s="111"/>
      <c r="IQ268" s="111"/>
      <c r="IR268" s="111"/>
      <c r="IS268" s="111"/>
      <c r="IT268" s="111"/>
      <c r="IU268" s="111"/>
      <c r="IV268" s="111"/>
    </row>
    <row r="269" spans="1:256" s="112" customFormat="1" ht="12.75">
      <c r="A269" s="3" t="s">
        <v>249</v>
      </c>
      <c r="B269" s="55">
        <f>B264*SIN(RADIANS($F$4))</f>
        <v>0.4330127018922193</v>
      </c>
      <c r="C269" s="55">
        <f>C264*SIN(RADIANS($F$4))</f>
        <v>1.6505289419314852</v>
      </c>
      <c r="D269" s="55">
        <f>D264*SIN(RADIANS($F$4))</f>
        <v>2.4240381056766576</v>
      </c>
      <c r="E269" s="55">
        <f>E264*SIN(RADIANS($F$4))</f>
        <v>3.2629818968083626</v>
      </c>
      <c r="F269" s="55">
        <f>F264*SIN(RADIANS($F$4))</f>
        <v>3.96650635094611</v>
      </c>
      <c r="G269" s="55">
        <f>G264*SIN(RADIANS($F$4))</f>
        <v>3.7938324668667662</v>
      </c>
      <c r="H269" s="55">
        <f>H264*SIN(RADIANS($F$4))</f>
        <v>2.598076211353316</v>
      </c>
      <c r="I269" s="55">
        <f>I264*SIN(RADIANS($F$4))</f>
        <v>1.225265355560081</v>
      </c>
      <c r="J269" s="55">
        <f>J264*SIN(RADIANS($F$4))</f>
        <v>0.5334936490538903</v>
      </c>
      <c r="K269" s="55">
        <f>K264*SIN(RADIANS($F$4))</f>
        <v>0.41125271736640334</v>
      </c>
      <c r="L269" s="55">
        <f>L264*SIN(RADIANS($F$4))</f>
        <v>0.1740381056766577</v>
      </c>
      <c r="M269" s="55">
        <f>M264*SIN(RADIANS($F$4))</f>
        <v>-0.30566573367940486</v>
      </c>
      <c r="N269" s="55">
        <f>N264*SIN(RADIANS($F$4))</f>
        <v>-0.4330127018922194</v>
      </c>
      <c r="O269" s="55">
        <f>O264*SIN(RADIANS($F$4))</f>
        <v>0.08152186563739151</v>
      </c>
      <c r="P269" s="55">
        <f>P264*SIN(RADIANS($F$4))</f>
        <v>0.5759618943233419</v>
      </c>
      <c r="Q269" s="55">
        <f>Q264*SIN(RADIANS($F$4))</f>
        <v>0.2011197183293911</v>
      </c>
      <c r="R269" s="55">
        <f>R264*SIN(RADIANS($F$4))</f>
        <v>-0.9665063509461068</v>
      </c>
      <c r="S269" s="55">
        <f>S264*SIN(RADIANS($F$4))</f>
        <v>-2.061781659297889</v>
      </c>
      <c r="T269" s="55">
        <f>T264*SIN(RADIANS($F$4))</f>
        <v>-2.598076211353316</v>
      </c>
      <c r="U269" s="55">
        <f>U264*SIN(RADIANS($F$4))</f>
        <v>-2.957316163128957</v>
      </c>
      <c r="V269" s="55">
        <f>V264*SIN(RADIANS($F$4))</f>
        <v>-3.533493649053891</v>
      </c>
      <c r="W269" s="55">
        <f>W264*SIN(RADIANS($F$4))</f>
        <v>-3.8753543325041577</v>
      </c>
      <c r="X269" s="55">
        <f>X264*SIN(RADIANS($F$4))</f>
        <v>-3.17403810567666</v>
      </c>
      <c r="Y269" s="55">
        <f>Y264*SIN(RADIANS($F$4))</f>
        <v>-1.426385073889472</v>
      </c>
      <c r="Z269" s="55">
        <f>Z264*SIN(RADIANS($F$4))</f>
        <v>0.4330127018922178</v>
      </c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  <c r="DH269" s="111"/>
      <c r="DI269" s="111"/>
      <c r="DJ269" s="111"/>
      <c r="DK269" s="111"/>
      <c r="DL269" s="111"/>
      <c r="DM269" s="111"/>
      <c r="DN269" s="111"/>
      <c r="DO269" s="111"/>
      <c r="DP269" s="111"/>
      <c r="DQ269" s="111"/>
      <c r="DR269" s="111"/>
      <c r="DS269" s="111"/>
      <c r="DT269" s="111"/>
      <c r="DU269" s="111"/>
      <c r="DV269" s="111"/>
      <c r="DW269" s="111"/>
      <c r="DX269" s="111"/>
      <c r="DY269" s="111"/>
      <c r="DZ269" s="111"/>
      <c r="EA269" s="111"/>
      <c r="EB269" s="111"/>
      <c r="EC269" s="111"/>
      <c r="ED269" s="111"/>
      <c r="EE269" s="111"/>
      <c r="EF269" s="111"/>
      <c r="EG269" s="111"/>
      <c r="EH269" s="111"/>
      <c r="EI269" s="111"/>
      <c r="EJ269" s="111"/>
      <c r="EK269" s="111"/>
      <c r="EL269" s="111"/>
      <c r="EM269" s="111"/>
      <c r="EN269" s="111"/>
      <c r="EO269" s="111"/>
      <c r="EP269" s="111"/>
      <c r="EQ269" s="111"/>
      <c r="ER269" s="111"/>
      <c r="ES269" s="111"/>
      <c r="ET269" s="111"/>
      <c r="EU269" s="111"/>
      <c r="EV269" s="111"/>
      <c r="EW269" s="111"/>
      <c r="EX269" s="111"/>
      <c r="EY269" s="111"/>
      <c r="EZ269" s="111"/>
      <c r="FA269" s="111"/>
      <c r="FB269" s="111"/>
      <c r="FC269" s="111"/>
      <c r="FD269" s="111"/>
      <c r="FE269" s="111"/>
      <c r="FF269" s="111"/>
      <c r="FG269" s="111"/>
      <c r="FH269" s="111"/>
      <c r="FI269" s="111"/>
      <c r="FJ269" s="111"/>
      <c r="FK269" s="111"/>
      <c r="FL269" s="111"/>
      <c r="FM269" s="111"/>
      <c r="FN269" s="111"/>
      <c r="FO269" s="111"/>
      <c r="FP269" s="111"/>
      <c r="FQ269" s="111"/>
      <c r="FR269" s="111"/>
      <c r="FS269" s="111"/>
      <c r="FT269" s="111"/>
      <c r="FU269" s="111"/>
      <c r="FV269" s="111"/>
      <c r="FW269" s="111"/>
      <c r="FX269" s="111"/>
      <c r="FY269" s="111"/>
      <c r="FZ269" s="111"/>
      <c r="GA269" s="111"/>
      <c r="GB269" s="111"/>
      <c r="GC269" s="111"/>
      <c r="GD269" s="111"/>
      <c r="GE269" s="111"/>
      <c r="GF269" s="111"/>
      <c r="GG269" s="111"/>
      <c r="GH269" s="111"/>
      <c r="GI269" s="111"/>
      <c r="GJ269" s="111"/>
      <c r="GK269" s="111"/>
      <c r="GL269" s="111"/>
      <c r="GM269" s="111"/>
      <c r="GN269" s="111"/>
      <c r="GO269" s="111"/>
      <c r="GP269" s="111"/>
      <c r="GQ269" s="111"/>
      <c r="GR269" s="111"/>
      <c r="GS269" s="111"/>
      <c r="GT269" s="111"/>
      <c r="GU269" s="111"/>
      <c r="GV269" s="111"/>
      <c r="GW269" s="111"/>
      <c r="GX269" s="111"/>
      <c r="GY269" s="111"/>
      <c r="GZ269" s="111"/>
      <c r="HA269" s="111"/>
      <c r="HB269" s="111"/>
      <c r="HC269" s="111"/>
      <c r="HD269" s="111"/>
      <c r="HE269" s="111"/>
      <c r="HF269" s="111"/>
      <c r="HG269" s="111"/>
      <c r="HH269" s="111"/>
      <c r="HI269" s="111"/>
      <c r="HJ269" s="111"/>
      <c r="HK269" s="111"/>
      <c r="HL269" s="111"/>
      <c r="HM269" s="111"/>
      <c r="HN269" s="111"/>
      <c r="HO269" s="111"/>
      <c r="HP269" s="111"/>
      <c r="HQ269" s="111"/>
      <c r="HR269" s="111"/>
      <c r="HS269" s="111"/>
      <c r="HT269" s="111"/>
      <c r="HU269" s="111"/>
      <c r="HV269" s="111"/>
      <c r="HW269" s="111"/>
      <c r="HX269" s="111"/>
      <c r="HY269" s="111"/>
      <c r="HZ269" s="111"/>
      <c r="IA269" s="111"/>
      <c r="IB269" s="111"/>
      <c r="IC269" s="111"/>
      <c r="ID269" s="111"/>
      <c r="IE269" s="111"/>
      <c r="IF269" s="111"/>
      <c r="IG269" s="111"/>
      <c r="IH269" s="111"/>
      <c r="II269" s="111"/>
      <c r="IJ269" s="111"/>
      <c r="IK269" s="111"/>
      <c r="IL269" s="111"/>
      <c r="IM269" s="111"/>
      <c r="IN269" s="111"/>
      <c r="IO269" s="111"/>
      <c r="IP269" s="111"/>
      <c r="IQ269" s="111"/>
      <c r="IR269" s="111"/>
      <c r="IS269" s="111"/>
      <c r="IT269" s="111"/>
      <c r="IU269" s="111"/>
      <c r="IV269" s="111"/>
    </row>
    <row r="270" spans="1:256" s="112" customFormat="1" ht="12.75">
      <c r="A270" s="3" t="s">
        <v>318</v>
      </c>
      <c r="B270" s="55">
        <f>SQRT(B268^2+B269^2)-B264</f>
        <v>0</v>
      </c>
      <c r="C270" s="55">
        <f>SQRT(C268^2+C269^2)-C264</f>
        <v>0</v>
      </c>
      <c r="D270" s="55">
        <f>SQRT(D268^2+D269^2)-D264</f>
        <v>0</v>
      </c>
      <c r="E270" s="55">
        <f>SQRT(E268^2+E269^2)-E264</f>
        <v>0</v>
      </c>
      <c r="F270" s="55">
        <f>SQRT(F268^2+F269^2)-F264</f>
        <v>0</v>
      </c>
      <c r="G270" s="55">
        <f>SQRT(G268^2+G269^2)-G264</f>
        <v>0</v>
      </c>
      <c r="H270" s="55">
        <f>SQRT(H268^2+H269^2)-H264</f>
        <v>0</v>
      </c>
      <c r="I270" s="55">
        <f>SQRT(I268^2+I269^2)-I264</f>
        <v>0</v>
      </c>
      <c r="J270" s="55">
        <f>SQRT(J268^2+J269^2)-J264</f>
        <v>0</v>
      </c>
      <c r="K270" s="55">
        <f>SQRT(K268^2+K269^2)-K264</f>
        <v>0</v>
      </c>
      <c r="L270" s="55">
        <f>SQRT(L268^2+L269^2)-L264</f>
        <v>0</v>
      </c>
      <c r="M270" s="55">
        <f>SQRT(M268^2+M269^2)-M264</f>
        <v>0.7059047744873954</v>
      </c>
      <c r="N270" s="55">
        <f>SQRT(N268^2+N269^2)-N264</f>
        <v>1.0000000000000002</v>
      </c>
      <c r="O270" s="55">
        <f>SQRT(O268^2+O269^2)-O264</f>
        <v>0</v>
      </c>
      <c r="P270" s="55">
        <f>SQRT(P268^2+P269^2)-P264</f>
        <v>0</v>
      </c>
      <c r="Q270" s="55">
        <f>SQRT(Q268^2+Q269^2)-Q264</f>
        <v>0</v>
      </c>
      <c r="R270" s="55">
        <f>SQRT(R268^2+R269^2)-R264</f>
        <v>2.232050807568871</v>
      </c>
      <c r="S270" s="55">
        <f>SQRT(S268^2+S269^2)-S264</f>
        <v>4.761480784023478</v>
      </c>
      <c r="T270" s="55">
        <f>SQRT(T268^2+T269^2)-T264</f>
        <v>6.000000000000001</v>
      </c>
      <c r="U270" s="55">
        <f>SQRT(U268^2+U269^2)-U264</f>
        <v>6.829629131445339</v>
      </c>
      <c r="V270" s="55">
        <f>SQRT(V268^2+V269^2)-V264</f>
        <v>8.160254037844389</v>
      </c>
      <c r="W270" s="55">
        <f>SQRT(W268^2+W269^2)-W264</f>
        <v>8.949747468305832</v>
      </c>
      <c r="X270" s="55">
        <f>SQRT(X268^2+X269^2)-X264</f>
        <v>7.330127018922198</v>
      </c>
      <c r="Y270" s="55">
        <f>SQRT(Y268^2+Y269^2)-Y264</f>
        <v>3.294095225512604</v>
      </c>
      <c r="Z270" s="55">
        <f>SQRT(Z268^2+Z269^2)-Z264</f>
        <v>0</v>
      </c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  <c r="DH270" s="111"/>
      <c r="DI270" s="111"/>
      <c r="DJ270" s="111"/>
      <c r="DK270" s="111"/>
      <c r="DL270" s="111"/>
      <c r="DM270" s="111"/>
      <c r="DN270" s="111"/>
      <c r="DO270" s="111"/>
      <c r="DP270" s="111"/>
      <c r="DQ270" s="111"/>
      <c r="DR270" s="111"/>
      <c r="DS270" s="111"/>
      <c r="DT270" s="111"/>
      <c r="DU270" s="111"/>
      <c r="DV270" s="111"/>
      <c r="DW270" s="111"/>
      <c r="DX270" s="111"/>
      <c r="DY270" s="111"/>
      <c r="DZ270" s="111"/>
      <c r="EA270" s="111"/>
      <c r="EB270" s="111"/>
      <c r="EC270" s="111"/>
      <c r="ED270" s="111"/>
      <c r="EE270" s="111"/>
      <c r="EF270" s="111"/>
      <c r="EG270" s="111"/>
      <c r="EH270" s="111"/>
      <c r="EI270" s="111"/>
      <c r="EJ270" s="111"/>
      <c r="EK270" s="111"/>
      <c r="EL270" s="111"/>
      <c r="EM270" s="111"/>
      <c r="EN270" s="111"/>
      <c r="EO270" s="111"/>
      <c r="EP270" s="111"/>
      <c r="EQ270" s="111"/>
      <c r="ER270" s="111"/>
      <c r="ES270" s="111"/>
      <c r="ET270" s="111"/>
      <c r="EU270" s="111"/>
      <c r="EV270" s="111"/>
      <c r="EW270" s="111"/>
      <c r="EX270" s="111"/>
      <c r="EY270" s="111"/>
      <c r="EZ270" s="111"/>
      <c r="FA270" s="111"/>
      <c r="FB270" s="111"/>
      <c r="FC270" s="111"/>
      <c r="FD270" s="111"/>
      <c r="FE270" s="111"/>
      <c r="FF270" s="111"/>
      <c r="FG270" s="111"/>
      <c r="FH270" s="111"/>
      <c r="FI270" s="111"/>
      <c r="FJ270" s="111"/>
      <c r="FK270" s="111"/>
      <c r="FL270" s="111"/>
      <c r="FM270" s="111"/>
      <c r="FN270" s="111"/>
      <c r="FO270" s="111"/>
      <c r="FP270" s="111"/>
      <c r="FQ270" s="111"/>
      <c r="FR270" s="111"/>
      <c r="FS270" s="111"/>
      <c r="FT270" s="111"/>
      <c r="FU270" s="111"/>
      <c r="FV270" s="111"/>
      <c r="FW270" s="111"/>
      <c r="FX270" s="111"/>
      <c r="FY270" s="111"/>
      <c r="FZ270" s="111"/>
      <c r="GA270" s="111"/>
      <c r="GB270" s="111"/>
      <c r="GC270" s="111"/>
      <c r="GD270" s="111"/>
      <c r="GE270" s="111"/>
      <c r="GF270" s="111"/>
      <c r="GG270" s="111"/>
      <c r="GH270" s="111"/>
      <c r="GI270" s="111"/>
      <c r="GJ270" s="111"/>
      <c r="GK270" s="111"/>
      <c r="GL270" s="111"/>
      <c r="GM270" s="111"/>
      <c r="GN270" s="111"/>
      <c r="GO270" s="111"/>
      <c r="GP270" s="111"/>
      <c r="GQ270" s="111"/>
      <c r="GR270" s="111"/>
      <c r="GS270" s="111"/>
      <c r="GT270" s="111"/>
      <c r="GU270" s="111"/>
      <c r="GV270" s="111"/>
      <c r="GW270" s="111"/>
      <c r="GX270" s="111"/>
      <c r="GY270" s="111"/>
      <c r="GZ270" s="111"/>
      <c r="HA270" s="111"/>
      <c r="HB270" s="111"/>
      <c r="HC270" s="111"/>
      <c r="HD270" s="111"/>
      <c r="HE270" s="111"/>
      <c r="HF270" s="111"/>
      <c r="HG270" s="111"/>
      <c r="HH270" s="111"/>
      <c r="HI270" s="111"/>
      <c r="HJ270" s="111"/>
      <c r="HK270" s="111"/>
      <c r="HL270" s="111"/>
      <c r="HM270" s="111"/>
      <c r="HN270" s="111"/>
      <c r="HO270" s="111"/>
      <c r="HP270" s="111"/>
      <c r="HQ270" s="111"/>
      <c r="HR270" s="111"/>
      <c r="HS270" s="111"/>
      <c r="HT270" s="111"/>
      <c r="HU270" s="111"/>
      <c r="HV270" s="111"/>
      <c r="HW270" s="111"/>
      <c r="HX270" s="111"/>
      <c r="HY270" s="111"/>
      <c r="HZ270" s="111"/>
      <c r="IA270" s="111"/>
      <c r="IB270" s="111"/>
      <c r="IC270" s="111"/>
      <c r="ID270" s="111"/>
      <c r="IE270" s="111"/>
      <c r="IF270" s="111"/>
      <c r="IG270" s="111"/>
      <c r="IH270" s="111"/>
      <c r="II270" s="111"/>
      <c r="IJ270" s="111"/>
      <c r="IK270" s="111"/>
      <c r="IL270" s="111"/>
      <c r="IM270" s="111"/>
      <c r="IN270" s="111"/>
      <c r="IO270" s="111"/>
      <c r="IP270" s="111"/>
      <c r="IQ270" s="111"/>
      <c r="IR270" s="111"/>
      <c r="IS270" s="111"/>
      <c r="IT270" s="111"/>
      <c r="IU270" s="111"/>
      <c r="IV270" s="111"/>
    </row>
    <row r="271" spans="1:256" s="125" customFormat="1" ht="12.75">
      <c r="A271" s="2" t="s">
        <v>317</v>
      </c>
      <c r="B271" s="67">
        <f>B268*B83+B269*B84-B266</f>
        <v>0</v>
      </c>
      <c r="C271" s="67">
        <f>C268*C83+C269*C84-C266</f>
        <v>0</v>
      </c>
      <c r="D271" s="67">
        <f>D268*D83+D269*D84-D266</f>
        <v>0</v>
      </c>
      <c r="E271" s="67">
        <f>E268*E83+E269*E84-E266</f>
        <v>0</v>
      </c>
      <c r="F271" s="67">
        <f>F268*F83+F269*F84-F266</f>
        <v>0</v>
      </c>
      <c r="G271" s="67">
        <f>G268*G83+G269*G84-G266</f>
        <v>0</v>
      </c>
      <c r="H271" s="67">
        <f>H268*H83+H269*H84-H266</f>
        <v>0</v>
      </c>
      <c r="I271" s="67">
        <f>I268*I83+I269*I84-I266</f>
        <v>0</v>
      </c>
      <c r="J271" s="67">
        <f>J268*J83+J269*J84-J266</f>
        <v>0</v>
      </c>
      <c r="K271" s="67">
        <f>K268*K83+K269*K84-K266</f>
        <v>0</v>
      </c>
      <c r="L271" s="67">
        <f>L268*L83+L269*L84-L266</f>
        <v>0</v>
      </c>
      <c r="M271" s="67">
        <f>M268*M83+M269*M84-M266</f>
        <v>0</v>
      </c>
      <c r="N271" s="67">
        <f>N268*N83+N269*N84-N266</f>
        <v>0</v>
      </c>
      <c r="O271" s="67">
        <f>O268*O83+O269*O84-O266</f>
        <v>0</v>
      </c>
      <c r="P271" s="67">
        <f>P268*P83+P269*P84-P266</f>
        <v>0</v>
      </c>
      <c r="Q271" s="67">
        <f>Q268*Q83+Q269*Q84-Q266</f>
        <v>0</v>
      </c>
      <c r="R271" s="67">
        <f>R268*R83+R269*R84-R266</f>
        <v>0</v>
      </c>
      <c r="S271" s="67">
        <f>S268*S83+S269*S84-S266</f>
        <v>0</v>
      </c>
      <c r="T271" s="67">
        <f>T268*T83+T269*T84-T266</f>
        <v>0</v>
      </c>
      <c r="U271" s="67">
        <f>U268*U83+U269*U84-U266</f>
        <v>0</v>
      </c>
      <c r="V271" s="67">
        <f>V268*V83+V269*V84-V266</f>
        <v>0</v>
      </c>
      <c r="W271" s="67">
        <f>W268*W83+W269*W84-W266</f>
        <v>0</v>
      </c>
      <c r="X271" s="67">
        <f>X268*X83+X269*X84-X266</f>
        <v>0</v>
      </c>
      <c r="Y271" s="67">
        <f>Y268*Y83+Y269*Y84-Y266</f>
        <v>0</v>
      </c>
      <c r="Z271" s="67">
        <f>Z268*Z83+Z269*Z84-Z266</f>
        <v>0</v>
      </c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  <c r="BH271" s="110"/>
      <c r="BI271" s="110"/>
      <c r="BJ271" s="110"/>
      <c r="BK271" s="110"/>
      <c r="BL271" s="110"/>
      <c r="BM271" s="110"/>
      <c r="BN271" s="110"/>
      <c r="BO271" s="110"/>
      <c r="BP271" s="110"/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0"/>
      <c r="CF271" s="110"/>
      <c r="CG271" s="110"/>
      <c r="CH271" s="110"/>
      <c r="CI271" s="110"/>
      <c r="CJ271" s="110"/>
      <c r="CK271" s="110"/>
      <c r="CL271" s="110"/>
      <c r="CM271" s="110"/>
      <c r="CN271" s="110"/>
      <c r="CO271" s="110"/>
      <c r="CP271" s="110"/>
      <c r="CQ271" s="110"/>
      <c r="CR271" s="110"/>
      <c r="CS271" s="110"/>
      <c r="CT271" s="110"/>
      <c r="CU271" s="110"/>
      <c r="CV271" s="110"/>
      <c r="CW271" s="110"/>
      <c r="CX271" s="110"/>
      <c r="CY271" s="110"/>
      <c r="CZ271" s="110"/>
      <c r="DA271" s="110"/>
      <c r="DB271" s="110"/>
      <c r="DC271" s="110"/>
      <c r="DD271" s="110"/>
      <c r="DE271" s="110"/>
      <c r="DF271" s="110"/>
      <c r="DG271" s="110"/>
      <c r="DH271" s="110"/>
      <c r="DI271" s="110"/>
      <c r="DJ271" s="110"/>
      <c r="DK271" s="110"/>
      <c r="DL271" s="110"/>
      <c r="DM271" s="110"/>
      <c r="DN271" s="110"/>
      <c r="DO271" s="110"/>
      <c r="DP271" s="110"/>
      <c r="DQ271" s="110"/>
      <c r="DR271" s="110"/>
      <c r="DS271" s="110"/>
      <c r="DT271" s="110"/>
      <c r="DU271" s="110"/>
      <c r="DV271" s="110"/>
      <c r="DW271" s="110"/>
      <c r="DX271" s="110"/>
      <c r="DY271" s="110"/>
      <c r="DZ271" s="110"/>
      <c r="EA271" s="110"/>
      <c r="EB271" s="110"/>
      <c r="EC271" s="110"/>
      <c r="ED271" s="110"/>
      <c r="EE271" s="110"/>
      <c r="EF271" s="110"/>
      <c r="EG271" s="110"/>
      <c r="EH271" s="110"/>
      <c r="EI271" s="110"/>
      <c r="EJ271" s="110"/>
      <c r="EK271" s="110"/>
      <c r="EL271" s="110"/>
      <c r="EM271" s="110"/>
      <c r="EN271" s="110"/>
      <c r="EO271" s="110"/>
      <c r="EP271" s="110"/>
      <c r="EQ271" s="110"/>
      <c r="ER271" s="110"/>
      <c r="ES271" s="110"/>
      <c r="ET271" s="110"/>
      <c r="EU271" s="110"/>
      <c r="EV271" s="110"/>
      <c r="EW271" s="110"/>
      <c r="EX271" s="110"/>
      <c r="EY271" s="110"/>
      <c r="EZ271" s="110"/>
      <c r="FA271" s="110"/>
      <c r="FB271" s="110"/>
      <c r="FC271" s="110"/>
      <c r="FD271" s="110"/>
      <c r="FE271" s="110"/>
      <c r="FF271" s="110"/>
      <c r="FG271" s="110"/>
      <c r="FH271" s="110"/>
      <c r="FI271" s="110"/>
      <c r="FJ271" s="110"/>
      <c r="FK271" s="110"/>
      <c r="FL271" s="110"/>
      <c r="FM271" s="110"/>
      <c r="FN271" s="110"/>
      <c r="FO271" s="110"/>
      <c r="FP271" s="110"/>
      <c r="FQ271" s="110"/>
      <c r="FR271" s="110"/>
      <c r="FS271" s="110"/>
      <c r="FT271" s="110"/>
      <c r="FU271" s="110"/>
      <c r="FV271" s="110"/>
      <c r="FW271" s="110"/>
      <c r="FX271" s="110"/>
      <c r="FY271" s="110"/>
      <c r="FZ271" s="110"/>
      <c r="GA271" s="110"/>
      <c r="GB271" s="110"/>
      <c r="GC271" s="110"/>
      <c r="GD271" s="110"/>
      <c r="GE271" s="110"/>
      <c r="GF271" s="110"/>
      <c r="GG271" s="110"/>
      <c r="GH271" s="110"/>
      <c r="GI271" s="110"/>
      <c r="GJ271" s="110"/>
      <c r="GK271" s="110"/>
      <c r="GL271" s="110"/>
      <c r="GM271" s="110"/>
      <c r="GN271" s="110"/>
      <c r="GO271" s="110"/>
      <c r="GP271" s="110"/>
      <c r="GQ271" s="110"/>
      <c r="GR271" s="110"/>
      <c r="GS271" s="110"/>
      <c r="GT271" s="110"/>
      <c r="GU271" s="110"/>
      <c r="GV271" s="110"/>
      <c r="GW271" s="110"/>
      <c r="GX271" s="110"/>
      <c r="GY271" s="110"/>
      <c r="GZ271" s="110"/>
      <c r="HA271" s="110"/>
      <c r="HB271" s="110"/>
      <c r="HC271" s="110"/>
      <c r="HD271" s="110"/>
      <c r="HE271" s="110"/>
      <c r="HF271" s="110"/>
      <c r="HG271" s="110"/>
      <c r="HH271" s="110"/>
      <c r="HI271" s="110"/>
      <c r="HJ271" s="110"/>
      <c r="HK271" s="110"/>
      <c r="HL271" s="110"/>
      <c r="HM271" s="110"/>
      <c r="HN271" s="110"/>
      <c r="HO271" s="110"/>
      <c r="HP271" s="110"/>
      <c r="HQ271" s="110"/>
      <c r="HR271" s="110"/>
      <c r="HS271" s="110"/>
      <c r="HT271" s="110"/>
      <c r="HU271" s="110"/>
      <c r="HV271" s="110"/>
      <c r="HW271" s="110"/>
      <c r="HX271" s="110"/>
      <c r="HY271" s="110"/>
      <c r="HZ271" s="110"/>
      <c r="IA271" s="110"/>
      <c r="IB271" s="110"/>
      <c r="IC271" s="110"/>
      <c r="ID271" s="110"/>
      <c r="IE271" s="110"/>
      <c r="IF271" s="110"/>
      <c r="IG271" s="110"/>
      <c r="IH271" s="110"/>
      <c r="II271" s="110"/>
      <c r="IJ271" s="110"/>
      <c r="IK271" s="110"/>
      <c r="IL271" s="110"/>
      <c r="IM271" s="110"/>
      <c r="IN271" s="110"/>
      <c r="IO271" s="110"/>
      <c r="IP271" s="110"/>
      <c r="IQ271" s="110"/>
      <c r="IR271" s="110"/>
      <c r="IS271" s="110"/>
      <c r="IT271" s="110"/>
      <c r="IU271" s="110"/>
      <c r="IV271" s="110"/>
    </row>
    <row r="272" spans="1:256" s="125" customFormat="1" ht="12.75">
      <c r="A272" s="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  <c r="DH272" s="111"/>
      <c r="DI272" s="111"/>
      <c r="DJ272" s="111"/>
      <c r="DK272" s="111"/>
      <c r="DL272" s="111"/>
      <c r="DM272" s="111"/>
      <c r="DN272" s="111"/>
      <c r="DO272" s="111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111"/>
      <c r="EJ272" s="111"/>
      <c r="EK272" s="111"/>
      <c r="EL272" s="111"/>
      <c r="EM272" s="111"/>
      <c r="EN272" s="111"/>
      <c r="EO272" s="111"/>
      <c r="EP272" s="111"/>
      <c r="EQ272" s="111"/>
      <c r="ER272" s="111"/>
      <c r="ES272" s="111"/>
      <c r="ET272" s="111"/>
      <c r="EU272" s="111"/>
      <c r="EV272" s="111"/>
      <c r="EW272" s="111"/>
      <c r="EX272" s="111"/>
      <c r="EY272" s="111"/>
      <c r="EZ272" s="111"/>
      <c r="FA272" s="111"/>
      <c r="FB272" s="111"/>
      <c r="FC272" s="111"/>
      <c r="FD272" s="111"/>
      <c r="FE272" s="111"/>
      <c r="FF272" s="111"/>
      <c r="FG272" s="111"/>
      <c r="FH272" s="111"/>
      <c r="FI272" s="111"/>
      <c r="FJ272" s="111"/>
      <c r="FK272" s="111"/>
      <c r="FL272" s="111"/>
      <c r="FM272" s="111"/>
      <c r="FN272" s="111"/>
      <c r="FO272" s="111"/>
      <c r="FP272" s="111"/>
      <c r="FQ272" s="111"/>
      <c r="FR272" s="111"/>
      <c r="FS272" s="111"/>
      <c r="FT272" s="111"/>
      <c r="FU272" s="111"/>
      <c r="FV272" s="111"/>
      <c r="FW272" s="111"/>
      <c r="FX272" s="111"/>
      <c r="FY272" s="111"/>
      <c r="FZ272" s="111"/>
      <c r="GA272" s="111"/>
      <c r="GB272" s="111"/>
      <c r="GC272" s="111"/>
      <c r="GD272" s="111"/>
      <c r="GE272" s="111"/>
      <c r="GF272" s="111"/>
      <c r="GG272" s="111"/>
      <c r="GH272" s="111"/>
      <c r="GI272" s="111"/>
      <c r="GJ272" s="111"/>
      <c r="GK272" s="111"/>
      <c r="GL272" s="111"/>
      <c r="GM272" s="111"/>
      <c r="GN272" s="111"/>
      <c r="GO272" s="111"/>
      <c r="GP272" s="111"/>
      <c r="GQ272" s="111"/>
      <c r="GR272" s="111"/>
      <c r="GS272" s="111"/>
      <c r="GT272" s="111"/>
      <c r="GU272" s="111"/>
      <c r="GV272" s="111"/>
      <c r="GW272" s="111"/>
      <c r="GX272" s="111"/>
      <c r="GY272" s="111"/>
      <c r="GZ272" s="111"/>
      <c r="HA272" s="111"/>
      <c r="HB272" s="111"/>
      <c r="HC272" s="111"/>
      <c r="HD272" s="111"/>
      <c r="HE272" s="111"/>
      <c r="HF272" s="111"/>
      <c r="HG272" s="111"/>
      <c r="HH272" s="111"/>
      <c r="HI272" s="111"/>
      <c r="HJ272" s="111"/>
      <c r="HK272" s="111"/>
      <c r="HL272" s="111"/>
      <c r="HM272" s="111"/>
      <c r="HN272" s="111"/>
      <c r="HO272" s="111"/>
      <c r="HP272" s="111"/>
      <c r="HQ272" s="111"/>
      <c r="HR272" s="111"/>
      <c r="HS272" s="111"/>
      <c r="HT272" s="111"/>
      <c r="HU272" s="111"/>
      <c r="HV272" s="111"/>
      <c r="HW272" s="111"/>
      <c r="HX272" s="111"/>
      <c r="HY272" s="111"/>
      <c r="HZ272" s="111"/>
      <c r="IA272" s="111"/>
      <c r="IB272" s="111"/>
      <c r="IC272" s="111"/>
      <c r="ID272" s="111"/>
      <c r="IE272" s="111"/>
      <c r="IF272" s="111"/>
      <c r="IG272" s="111"/>
      <c r="IH272" s="111"/>
      <c r="II272" s="111"/>
      <c r="IJ272" s="111"/>
      <c r="IK272" s="111"/>
      <c r="IL272" s="111"/>
      <c r="IM272" s="111"/>
      <c r="IN272" s="111"/>
      <c r="IO272" s="111"/>
      <c r="IP272" s="111"/>
      <c r="IQ272" s="111"/>
      <c r="IR272" s="111"/>
      <c r="IS272" s="111"/>
      <c r="IT272" s="111"/>
      <c r="IU272" s="111"/>
      <c r="IV272" s="111"/>
    </row>
    <row r="273" spans="1:256" s="125" customFormat="1" ht="12.75">
      <c r="A273" s="68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  <c r="CH273" s="111"/>
      <c r="CI273" s="111"/>
      <c r="CJ273" s="111"/>
      <c r="CK273" s="111"/>
      <c r="CL273" s="111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  <c r="DH273" s="111"/>
      <c r="DI273" s="111"/>
      <c r="DJ273" s="111"/>
      <c r="DK273" s="111"/>
      <c r="DL273" s="111"/>
      <c r="DM273" s="111"/>
      <c r="DN273" s="111"/>
      <c r="DO273" s="111"/>
      <c r="DP273" s="111"/>
      <c r="DQ273" s="111"/>
      <c r="DR273" s="111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  <c r="EF273" s="111"/>
      <c r="EG273" s="111"/>
      <c r="EH273" s="111"/>
      <c r="EI273" s="111"/>
      <c r="EJ273" s="111"/>
      <c r="EK273" s="111"/>
      <c r="EL273" s="111"/>
      <c r="EM273" s="111"/>
      <c r="EN273" s="111"/>
      <c r="EO273" s="111"/>
      <c r="EP273" s="111"/>
      <c r="EQ273" s="111"/>
      <c r="ER273" s="111"/>
      <c r="ES273" s="111"/>
      <c r="ET273" s="111"/>
      <c r="EU273" s="111"/>
      <c r="EV273" s="111"/>
      <c r="EW273" s="111"/>
      <c r="EX273" s="111"/>
      <c r="EY273" s="111"/>
      <c r="EZ273" s="111"/>
      <c r="FA273" s="111"/>
      <c r="FB273" s="111"/>
      <c r="FC273" s="111"/>
      <c r="FD273" s="111"/>
      <c r="FE273" s="111"/>
      <c r="FF273" s="111"/>
      <c r="FG273" s="111"/>
      <c r="FH273" s="111"/>
      <c r="FI273" s="111"/>
      <c r="FJ273" s="111"/>
      <c r="FK273" s="111"/>
      <c r="FL273" s="111"/>
      <c r="FM273" s="111"/>
      <c r="FN273" s="111"/>
      <c r="FO273" s="111"/>
      <c r="FP273" s="111"/>
      <c r="FQ273" s="111"/>
      <c r="FR273" s="111"/>
      <c r="FS273" s="111"/>
      <c r="FT273" s="111"/>
      <c r="FU273" s="111"/>
      <c r="FV273" s="111"/>
      <c r="FW273" s="111"/>
      <c r="FX273" s="111"/>
      <c r="FY273" s="111"/>
      <c r="FZ273" s="111"/>
      <c r="GA273" s="111"/>
      <c r="GB273" s="111"/>
      <c r="GC273" s="111"/>
      <c r="GD273" s="111"/>
      <c r="GE273" s="111"/>
      <c r="GF273" s="111"/>
      <c r="GG273" s="111"/>
      <c r="GH273" s="111"/>
      <c r="GI273" s="111"/>
      <c r="GJ273" s="111"/>
      <c r="GK273" s="111"/>
      <c r="GL273" s="111"/>
      <c r="GM273" s="111"/>
      <c r="GN273" s="111"/>
      <c r="GO273" s="111"/>
      <c r="GP273" s="111"/>
      <c r="GQ273" s="111"/>
      <c r="GR273" s="111"/>
      <c r="GS273" s="111"/>
      <c r="GT273" s="111"/>
      <c r="GU273" s="111"/>
      <c r="GV273" s="111"/>
      <c r="GW273" s="111"/>
      <c r="GX273" s="111"/>
      <c r="GY273" s="111"/>
      <c r="GZ273" s="111"/>
      <c r="HA273" s="111"/>
      <c r="HB273" s="111"/>
      <c r="HC273" s="111"/>
      <c r="HD273" s="111"/>
      <c r="HE273" s="111"/>
      <c r="HF273" s="111"/>
      <c r="HG273" s="111"/>
      <c r="HH273" s="111"/>
      <c r="HI273" s="111"/>
      <c r="HJ273" s="111"/>
      <c r="HK273" s="111"/>
      <c r="HL273" s="111"/>
      <c r="HM273" s="111"/>
      <c r="HN273" s="111"/>
      <c r="HO273" s="111"/>
      <c r="HP273" s="111"/>
      <c r="HQ273" s="111"/>
      <c r="HR273" s="111"/>
      <c r="HS273" s="111"/>
      <c r="HT273" s="111"/>
      <c r="HU273" s="111"/>
      <c r="HV273" s="111"/>
      <c r="HW273" s="111"/>
      <c r="HX273" s="111"/>
      <c r="HY273" s="111"/>
      <c r="HZ273" s="111"/>
      <c r="IA273" s="111"/>
      <c r="IB273" s="111"/>
      <c r="IC273" s="111"/>
      <c r="ID273" s="111"/>
      <c r="IE273" s="111"/>
      <c r="IF273" s="111"/>
      <c r="IG273" s="111"/>
      <c r="IH273" s="111"/>
      <c r="II273" s="111"/>
      <c r="IJ273" s="111"/>
      <c r="IK273" s="111"/>
      <c r="IL273" s="111"/>
      <c r="IM273" s="111"/>
      <c r="IN273" s="111"/>
      <c r="IO273" s="111"/>
      <c r="IP273" s="111"/>
      <c r="IQ273" s="111"/>
      <c r="IR273" s="111"/>
      <c r="IS273" s="111"/>
      <c r="IT273" s="111"/>
      <c r="IU273" s="111"/>
      <c r="IV273" s="111"/>
    </row>
    <row r="274" spans="1:256" s="125" customFormat="1" ht="12.75">
      <c r="A274" s="68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  <c r="CF274" s="110"/>
      <c r="CG274" s="110"/>
      <c r="CH274" s="110"/>
      <c r="CI274" s="110"/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  <c r="DE274" s="110"/>
      <c r="DF274" s="110"/>
      <c r="DG274" s="110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  <c r="DT274" s="110"/>
      <c r="DU274" s="110"/>
      <c r="DV274" s="110"/>
      <c r="DW274" s="110"/>
      <c r="DX274" s="110"/>
      <c r="DY274" s="110"/>
      <c r="DZ274" s="110"/>
      <c r="EA274" s="110"/>
      <c r="EB274" s="110"/>
      <c r="EC274" s="110"/>
      <c r="ED274" s="110"/>
      <c r="EE274" s="110"/>
      <c r="EF274" s="110"/>
      <c r="EG274" s="110"/>
      <c r="EH274" s="110"/>
      <c r="EI274" s="110"/>
      <c r="EJ274" s="110"/>
      <c r="EK274" s="110"/>
      <c r="EL274" s="110"/>
      <c r="EM274" s="110"/>
      <c r="EN274" s="110"/>
      <c r="EO274" s="110"/>
      <c r="EP274" s="110"/>
      <c r="EQ274" s="110"/>
      <c r="ER274" s="110"/>
      <c r="ES274" s="110"/>
      <c r="ET274" s="110"/>
      <c r="EU274" s="110"/>
      <c r="EV274" s="110"/>
      <c r="EW274" s="110"/>
      <c r="EX274" s="110"/>
      <c r="EY274" s="110"/>
      <c r="EZ274" s="110"/>
      <c r="FA274" s="110"/>
      <c r="FB274" s="110"/>
      <c r="FC274" s="110"/>
      <c r="FD274" s="110"/>
      <c r="FE274" s="110"/>
      <c r="FF274" s="110"/>
      <c r="FG274" s="110"/>
      <c r="FH274" s="110"/>
      <c r="FI274" s="110"/>
      <c r="FJ274" s="110"/>
      <c r="FK274" s="110"/>
      <c r="FL274" s="110"/>
      <c r="FM274" s="110"/>
      <c r="FN274" s="110"/>
      <c r="FO274" s="110"/>
      <c r="FP274" s="110"/>
      <c r="FQ274" s="110"/>
      <c r="FR274" s="110"/>
      <c r="FS274" s="110"/>
      <c r="FT274" s="110"/>
      <c r="FU274" s="110"/>
      <c r="FV274" s="110"/>
      <c r="FW274" s="110"/>
      <c r="FX274" s="110"/>
      <c r="FY274" s="110"/>
      <c r="FZ274" s="110"/>
      <c r="GA274" s="110"/>
      <c r="GB274" s="110"/>
      <c r="GC274" s="110"/>
      <c r="GD274" s="110"/>
      <c r="GE274" s="110"/>
      <c r="GF274" s="110"/>
      <c r="GG274" s="110"/>
      <c r="GH274" s="110"/>
      <c r="GI274" s="110"/>
      <c r="GJ274" s="110"/>
      <c r="GK274" s="110"/>
      <c r="GL274" s="110"/>
      <c r="GM274" s="110"/>
      <c r="GN274" s="110"/>
      <c r="GO274" s="110"/>
      <c r="GP274" s="110"/>
      <c r="GQ274" s="110"/>
      <c r="GR274" s="110"/>
      <c r="GS274" s="110"/>
      <c r="GT274" s="110"/>
      <c r="GU274" s="110"/>
      <c r="GV274" s="110"/>
      <c r="GW274" s="110"/>
      <c r="GX274" s="110"/>
      <c r="GY274" s="110"/>
      <c r="GZ274" s="110"/>
      <c r="HA274" s="110"/>
      <c r="HB274" s="110"/>
      <c r="HC274" s="110"/>
      <c r="HD274" s="110"/>
      <c r="HE274" s="110"/>
      <c r="HF274" s="110"/>
      <c r="HG274" s="110"/>
      <c r="HH274" s="110"/>
      <c r="HI274" s="110"/>
      <c r="HJ274" s="110"/>
      <c r="HK274" s="110"/>
      <c r="HL274" s="110"/>
      <c r="HM274" s="110"/>
      <c r="HN274" s="110"/>
      <c r="HO274" s="110"/>
      <c r="HP274" s="110"/>
      <c r="HQ274" s="110"/>
      <c r="HR274" s="110"/>
      <c r="HS274" s="110"/>
      <c r="HT274" s="110"/>
      <c r="HU274" s="110"/>
      <c r="HV274" s="110"/>
      <c r="HW274" s="110"/>
      <c r="HX274" s="110"/>
      <c r="HY274" s="110"/>
      <c r="HZ274" s="110"/>
      <c r="IA274" s="110"/>
      <c r="IB274" s="110"/>
      <c r="IC274" s="110"/>
      <c r="ID274" s="110"/>
      <c r="IE274" s="110"/>
      <c r="IF274" s="110"/>
      <c r="IG274" s="110"/>
      <c r="IH274" s="110"/>
      <c r="II274" s="110"/>
      <c r="IJ274" s="110"/>
      <c r="IK274" s="110"/>
      <c r="IL274" s="110"/>
      <c r="IM274" s="110"/>
      <c r="IN274" s="110"/>
      <c r="IO274" s="110"/>
      <c r="IP274" s="110"/>
      <c r="IQ274" s="110"/>
      <c r="IR274" s="110"/>
      <c r="IS274" s="110"/>
      <c r="IT274" s="110"/>
      <c r="IU274" s="110"/>
      <c r="IV274" s="110"/>
    </row>
    <row r="275" spans="1:256" s="125" customFormat="1" ht="12.75">
      <c r="A275" s="55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/>
      <c r="BI275" s="110"/>
      <c r="BJ275" s="110"/>
      <c r="BK275" s="110"/>
      <c r="BL275" s="110"/>
      <c r="BM275" s="110"/>
      <c r="BN275" s="110"/>
      <c r="BO275" s="110"/>
      <c r="BP275" s="110"/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0"/>
      <c r="CF275" s="110"/>
      <c r="CG275" s="110"/>
      <c r="CH275" s="110"/>
      <c r="CI275" s="110"/>
      <c r="CJ275" s="110"/>
      <c r="CK275" s="110"/>
      <c r="CL275" s="110"/>
      <c r="CM275" s="110"/>
      <c r="CN275" s="110"/>
      <c r="CO275" s="110"/>
      <c r="CP275" s="110"/>
      <c r="CQ275" s="110"/>
      <c r="CR275" s="110"/>
      <c r="CS275" s="110"/>
      <c r="CT275" s="110"/>
      <c r="CU275" s="110"/>
      <c r="CV275" s="110"/>
      <c r="CW275" s="110"/>
      <c r="CX275" s="110"/>
      <c r="CY275" s="110"/>
      <c r="CZ275" s="110"/>
      <c r="DA275" s="110"/>
      <c r="DB275" s="110"/>
      <c r="DC275" s="110"/>
      <c r="DD275" s="110"/>
      <c r="DE275" s="110"/>
      <c r="DF275" s="110"/>
      <c r="DG275" s="110"/>
      <c r="DH275" s="110"/>
      <c r="DI275" s="110"/>
      <c r="DJ275" s="110"/>
      <c r="DK275" s="110"/>
      <c r="DL275" s="110"/>
      <c r="DM275" s="110"/>
      <c r="DN275" s="110"/>
      <c r="DO275" s="110"/>
      <c r="DP275" s="110"/>
      <c r="DQ275" s="110"/>
      <c r="DR275" s="110"/>
      <c r="DS275" s="110"/>
      <c r="DT275" s="110"/>
      <c r="DU275" s="110"/>
      <c r="DV275" s="110"/>
      <c r="DW275" s="110"/>
      <c r="DX275" s="110"/>
      <c r="DY275" s="110"/>
      <c r="DZ275" s="110"/>
      <c r="EA275" s="110"/>
      <c r="EB275" s="110"/>
      <c r="EC275" s="110"/>
      <c r="ED275" s="110"/>
      <c r="EE275" s="110"/>
      <c r="EF275" s="110"/>
      <c r="EG275" s="110"/>
      <c r="EH275" s="110"/>
      <c r="EI275" s="110"/>
      <c r="EJ275" s="110"/>
      <c r="EK275" s="110"/>
      <c r="EL275" s="110"/>
      <c r="EM275" s="110"/>
      <c r="EN275" s="110"/>
      <c r="EO275" s="110"/>
      <c r="EP275" s="110"/>
      <c r="EQ275" s="110"/>
      <c r="ER275" s="110"/>
      <c r="ES275" s="110"/>
      <c r="ET275" s="110"/>
      <c r="EU275" s="110"/>
      <c r="EV275" s="110"/>
      <c r="EW275" s="110"/>
      <c r="EX275" s="110"/>
      <c r="EY275" s="110"/>
      <c r="EZ275" s="110"/>
      <c r="FA275" s="110"/>
      <c r="FB275" s="110"/>
      <c r="FC275" s="110"/>
      <c r="FD275" s="110"/>
      <c r="FE275" s="110"/>
      <c r="FF275" s="110"/>
      <c r="FG275" s="110"/>
      <c r="FH275" s="110"/>
      <c r="FI275" s="110"/>
      <c r="FJ275" s="110"/>
      <c r="FK275" s="110"/>
      <c r="FL275" s="110"/>
      <c r="FM275" s="110"/>
      <c r="FN275" s="110"/>
      <c r="FO275" s="110"/>
      <c r="FP275" s="110"/>
      <c r="FQ275" s="110"/>
      <c r="FR275" s="110"/>
      <c r="FS275" s="110"/>
      <c r="FT275" s="110"/>
      <c r="FU275" s="110"/>
      <c r="FV275" s="110"/>
      <c r="FW275" s="110"/>
      <c r="FX275" s="110"/>
      <c r="FY275" s="110"/>
      <c r="FZ275" s="110"/>
      <c r="GA275" s="110"/>
      <c r="GB275" s="110"/>
      <c r="GC275" s="110"/>
      <c r="GD275" s="110"/>
      <c r="GE275" s="110"/>
      <c r="GF275" s="110"/>
      <c r="GG275" s="110"/>
      <c r="GH275" s="110"/>
      <c r="GI275" s="110"/>
      <c r="GJ275" s="110"/>
      <c r="GK275" s="110"/>
      <c r="GL275" s="110"/>
      <c r="GM275" s="110"/>
      <c r="GN275" s="110"/>
      <c r="GO275" s="110"/>
      <c r="GP275" s="110"/>
      <c r="GQ275" s="110"/>
      <c r="GR275" s="110"/>
      <c r="GS275" s="110"/>
      <c r="GT275" s="110"/>
      <c r="GU275" s="110"/>
      <c r="GV275" s="110"/>
      <c r="GW275" s="110"/>
      <c r="GX275" s="110"/>
      <c r="GY275" s="110"/>
      <c r="GZ275" s="110"/>
      <c r="HA275" s="110"/>
      <c r="HB275" s="110"/>
      <c r="HC275" s="110"/>
      <c r="HD275" s="110"/>
      <c r="HE275" s="110"/>
      <c r="HF275" s="110"/>
      <c r="HG275" s="110"/>
      <c r="HH275" s="110"/>
      <c r="HI275" s="110"/>
      <c r="HJ275" s="110"/>
      <c r="HK275" s="110"/>
      <c r="HL275" s="110"/>
      <c r="HM275" s="110"/>
      <c r="HN275" s="110"/>
      <c r="HO275" s="110"/>
      <c r="HP275" s="110"/>
      <c r="HQ275" s="110"/>
      <c r="HR275" s="110"/>
      <c r="HS275" s="110"/>
      <c r="HT275" s="110"/>
      <c r="HU275" s="110"/>
      <c r="HV275" s="110"/>
      <c r="HW275" s="110"/>
      <c r="HX275" s="110"/>
      <c r="HY275" s="110"/>
      <c r="HZ275" s="110"/>
      <c r="IA275" s="110"/>
      <c r="IB275" s="110"/>
      <c r="IC275" s="110"/>
      <c r="ID275" s="110"/>
      <c r="IE275" s="110"/>
      <c r="IF275" s="110"/>
      <c r="IG275" s="110"/>
      <c r="IH275" s="110"/>
      <c r="II275" s="110"/>
      <c r="IJ275" s="110"/>
      <c r="IK275" s="110"/>
      <c r="IL275" s="110"/>
      <c r="IM275" s="110"/>
      <c r="IN275" s="110"/>
      <c r="IO275" s="110"/>
      <c r="IP275" s="110"/>
      <c r="IQ275" s="110"/>
      <c r="IR275" s="110"/>
      <c r="IS275" s="110"/>
      <c r="IT275" s="110"/>
      <c r="IU275" s="110"/>
      <c r="IV275" s="110"/>
    </row>
    <row r="276" spans="1:256" s="125" customFormat="1" ht="12.75">
      <c r="A276" s="55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/>
      <c r="BI276" s="110"/>
      <c r="BJ276" s="110"/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0"/>
      <c r="CF276" s="110"/>
      <c r="CG276" s="110"/>
      <c r="CH276" s="110"/>
      <c r="CI276" s="110"/>
      <c r="CJ276" s="110"/>
      <c r="CK276" s="110"/>
      <c r="CL276" s="110"/>
      <c r="CM276" s="110"/>
      <c r="CN276" s="110"/>
      <c r="CO276" s="110"/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0"/>
      <c r="DE276" s="110"/>
      <c r="DF276" s="110"/>
      <c r="DG276" s="110"/>
      <c r="DH276" s="110"/>
      <c r="DI276" s="110"/>
      <c r="DJ276" s="110"/>
      <c r="DK276" s="110"/>
      <c r="DL276" s="110"/>
      <c r="DM276" s="110"/>
      <c r="DN276" s="110"/>
      <c r="DO276" s="110"/>
      <c r="DP276" s="110"/>
      <c r="DQ276" s="110"/>
      <c r="DR276" s="110"/>
      <c r="DS276" s="110"/>
      <c r="DT276" s="110"/>
      <c r="DU276" s="110"/>
      <c r="DV276" s="110"/>
      <c r="DW276" s="110"/>
      <c r="DX276" s="110"/>
      <c r="DY276" s="110"/>
      <c r="DZ276" s="110"/>
      <c r="EA276" s="110"/>
      <c r="EB276" s="110"/>
      <c r="EC276" s="110"/>
      <c r="ED276" s="110"/>
      <c r="EE276" s="110"/>
      <c r="EF276" s="110"/>
      <c r="EG276" s="110"/>
      <c r="EH276" s="110"/>
      <c r="EI276" s="110"/>
      <c r="EJ276" s="110"/>
      <c r="EK276" s="110"/>
      <c r="EL276" s="110"/>
      <c r="EM276" s="110"/>
      <c r="EN276" s="110"/>
      <c r="EO276" s="110"/>
      <c r="EP276" s="110"/>
      <c r="EQ276" s="110"/>
      <c r="ER276" s="110"/>
      <c r="ES276" s="110"/>
      <c r="ET276" s="110"/>
      <c r="EU276" s="110"/>
      <c r="EV276" s="110"/>
      <c r="EW276" s="110"/>
      <c r="EX276" s="110"/>
      <c r="EY276" s="110"/>
      <c r="EZ276" s="110"/>
      <c r="FA276" s="110"/>
      <c r="FB276" s="110"/>
      <c r="FC276" s="110"/>
      <c r="FD276" s="110"/>
      <c r="FE276" s="110"/>
      <c r="FF276" s="110"/>
      <c r="FG276" s="110"/>
      <c r="FH276" s="110"/>
      <c r="FI276" s="110"/>
      <c r="FJ276" s="110"/>
      <c r="FK276" s="110"/>
      <c r="FL276" s="110"/>
      <c r="FM276" s="110"/>
      <c r="FN276" s="110"/>
      <c r="FO276" s="110"/>
      <c r="FP276" s="110"/>
      <c r="FQ276" s="110"/>
      <c r="FR276" s="110"/>
      <c r="FS276" s="110"/>
      <c r="FT276" s="110"/>
      <c r="FU276" s="110"/>
      <c r="FV276" s="110"/>
      <c r="FW276" s="110"/>
      <c r="FX276" s="110"/>
      <c r="FY276" s="110"/>
      <c r="FZ276" s="110"/>
      <c r="GA276" s="110"/>
      <c r="GB276" s="110"/>
      <c r="GC276" s="110"/>
      <c r="GD276" s="110"/>
      <c r="GE276" s="110"/>
      <c r="GF276" s="110"/>
      <c r="GG276" s="110"/>
      <c r="GH276" s="110"/>
      <c r="GI276" s="110"/>
      <c r="GJ276" s="110"/>
      <c r="GK276" s="110"/>
      <c r="GL276" s="110"/>
      <c r="GM276" s="110"/>
      <c r="GN276" s="110"/>
      <c r="GO276" s="110"/>
      <c r="GP276" s="110"/>
      <c r="GQ276" s="110"/>
      <c r="GR276" s="110"/>
      <c r="GS276" s="110"/>
      <c r="GT276" s="110"/>
      <c r="GU276" s="110"/>
      <c r="GV276" s="110"/>
      <c r="GW276" s="110"/>
      <c r="GX276" s="110"/>
      <c r="GY276" s="110"/>
      <c r="GZ276" s="110"/>
      <c r="HA276" s="110"/>
      <c r="HB276" s="110"/>
      <c r="HC276" s="110"/>
      <c r="HD276" s="110"/>
      <c r="HE276" s="110"/>
      <c r="HF276" s="110"/>
      <c r="HG276" s="110"/>
      <c r="HH276" s="110"/>
      <c r="HI276" s="110"/>
      <c r="HJ276" s="110"/>
      <c r="HK276" s="110"/>
      <c r="HL276" s="110"/>
      <c r="HM276" s="110"/>
      <c r="HN276" s="110"/>
      <c r="HO276" s="110"/>
      <c r="HP276" s="110"/>
      <c r="HQ276" s="110"/>
      <c r="HR276" s="110"/>
      <c r="HS276" s="110"/>
      <c r="HT276" s="110"/>
      <c r="HU276" s="110"/>
      <c r="HV276" s="110"/>
      <c r="HW276" s="110"/>
      <c r="HX276" s="110"/>
      <c r="HY276" s="110"/>
      <c r="HZ276" s="110"/>
      <c r="IA276" s="110"/>
      <c r="IB276" s="110"/>
      <c r="IC276" s="110"/>
      <c r="ID276" s="110"/>
      <c r="IE276" s="110"/>
      <c r="IF276" s="110"/>
      <c r="IG276" s="110"/>
      <c r="IH276" s="110"/>
      <c r="II276" s="110"/>
      <c r="IJ276" s="110"/>
      <c r="IK276" s="110"/>
      <c r="IL276" s="110"/>
      <c r="IM276" s="110"/>
      <c r="IN276" s="110"/>
      <c r="IO276" s="110"/>
      <c r="IP276" s="110"/>
      <c r="IQ276" s="110"/>
      <c r="IR276" s="110"/>
      <c r="IS276" s="110"/>
      <c r="IT276" s="110"/>
      <c r="IU276" s="110"/>
      <c r="IV276" s="110"/>
    </row>
    <row r="277" spans="1:26" s="112" customFormat="1" ht="12.75">
      <c r="A277" s="3" t="s">
        <v>250</v>
      </c>
      <c r="B277" s="55">
        <f>B265*COS(RADIANS($F$8))</f>
        <v>9.961946980917455</v>
      </c>
      <c r="C277" s="55">
        <f aca="true" t="shared" si="46" ref="C277:Z277">C265*COS(RADIANS($F$8))</f>
        <v>7.398670245632975</v>
      </c>
      <c r="D277" s="55">
        <f t="shared" si="46"/>
        <v>2.2230611875068282</v>
      </c>
      <c r="E277" s="55">
        <f t="shared" si="46"/>
        <v>3.8974034334133623</v>
      </c>
      <c r="F277" s="55">
        <f t="shared" si="46"/>
        <v>3.183990097793436</v>
      </c>
      <c r="G277" s="55">
        <f t="shared" si="46"/>
        <v>-0.9488064121116896</v>
      </c>
      <c r="H277" s="55">
        <f t="shared" si="46"/>
        <v>3.5220801320137918</v>
      </c>
      <c r="I277" s="55">
        <f t="shared" si="46"/>
        <v>7.932702908575424</v>
      </c>
      <c r="J277" s="55">
        <f t="shared" si="46"/>
        <v>3.620146225750037</v>
      </c>
      <c r="K277" s="55">
        <f t="shared" si="46"/>
        <v>2.610552058251026</v>
      </c>
      <c r="L277" s="55">
        <f t="shared" si="46"/>
        <v>3.877360549469961</v>
      </c>
      <c r="M277" s="55">
        <f t="shared" si="46"/>
        <v>-1.8101621706198956</v>
      </c>
      <c r="N277" s="55">
        <f t="shared" si="46"/>
        <v>-4.980973490458728</v>
      </c>
      <c r="O277" s="55">
        <f t="shared" si="46"/>
        <v>-1.3849973458114544</v>
      </c>
      <c r="P277" s="55">
        <f t="shared" si="46"/>
        <v>-0.42644088681867565</v>
      </c>
      <c r="Q277" s="55">
        <f t="shared" si="46"/>
        <v>-1.20172000544551</v>
      </c>
      <c r="R277" s="55">
        <f t="shared" si="46"/>
        <v>0.3646325666169469</v>
      </c>
      <c r="S277" s="55">
        <f t="shared" si="46"/>
        <v>0.14279399743736093</v>
      </c>
      <c r="T277" s="55">
        <f t="shared" si="46"/>
        <v>-3.5220801320137936</v>
      </c>
      <c r="U277" s="55">
        <f t="shared" si="46"/>
        <v>-7.126690493901092</v>
      </c>
      <c r="V277" s="55">
        <f t="shared" si="46"/>
        <v>-7.168768890160418</v>
      </c>
      <c r="W277" s="55">
        <f t="shared" si="46"/>
        <v>-5.306235486218876</v>
      </c>
      <c r="X277" s="55">
        <f t="shared" si="46"/>
        <v>-5.673980850158116</v>
      </c>
      <c r="Y277" s="55">
        <f t="shared" si="46"/>
        <v>-4.203510729201614</v>
      </c>
      <c r="Z277" s="55">
        <f t="shared" si="46"/>
        <v>-1.952778232248418E-15</v>
      </c>
    </row>
    <row r="278" spans="1:26" s="112" customFormat="1" ht="12.75">
      <c r="A278" s="3" t="s">
        <v>251</v>
      </c>
      <c r="B278" s="55">
        <f>B265*SIN(RADIANS($F$8))</f>
        <v>0.8715574274765816</v>
      </c>
      <c r="C278" s="55">
        <f aca="true" t="shared" si="47" ref="C278:Z278">C265*SIN(RADIANS($F$8))</f>
        <v>0.6472997716594489</v>
      </c>
      <c r="D278" s="55">
        <f t="shared" si="47"/>
        <v>0.19449265223132595</v>
      </c>
      <c r="E278" s="55">
        <f t="shared" si="47"/>
        <v>0.3409786176106826</v>
      </c>
      <c r="F278" s="55">
        <f t="shared" si="47"/>
        <v>0.27856303833572377</v>
      </c>
      <c r="G278" s="55">
        <f t="shared" si="47"/>
        <v>-0.08300980494047878</v>
      </c>
      <c r="H278" s="55">
        <f t="shared" si="47"/>
        <v>0.3081420835810966</v>
      </c>
      <c r="I278" s="55">
        <f t="shared" si="47"/>
        <v>0.6940215756194739</v>
      </c>
      <c r="J278" s="55">
        <f t="shared" si="47"/>
        <v>0.3167217550592887</v>
      </c>
      <c r="K278" s="55">
        <f t="shared" si="47"/>
        <v>0.22839371064123234</v>
      </c>
      <c r="L278" s="55">
        <f t="shared" si="47"/>
        <v>0.3392250924812692</v>
      </c>
      <c r="M278" s="55">
        <f t="shared" si="47"/>
        <v>-0.1583686690727203</v>
      </c>
      <c r="N278" s="55">
        <f t="shared" si="47"/>
        <v>-0.4357787137382909</v>
      </c>
      <c r="O278" s="55">
        <f t="shared" si="47"/>
        <v>-0.12117156677199614</v>
      </c>
      <c r="P278" s="55">
        <f t="shared" si="47"/>
        <v>-0.037308743260575754</v>
      </c>
      <c r="Q278" s="55">
        <f t="shared" si="47"/>
        <v>-0.10513687720879378</v>
      </c>
      <c r="R278" s="55">
        <f t="shared" si="47"/>
        <v>0.03190121593134413</v>
      </c>
      <c r="S278" s="55">
        <f t="shared" si="47"/>
        <v>0.012492855995318923</v>
      </c>
      <c r="T278" s="55">
        <f t="shared" si="47"/>
        <v>-0.30814208358109674</v>
      </c>
      <c r="U278" s="55">
        <f t="shared" si="47"/>
        <v>-0.6235046266743138</v>
      </c>
      <c r="V278" s="55">
        <f t="shared" si="47"/>
        <v>-0.6271860093263565</v>
      </c>
      <c r="W278" s="55">
        <f t="shared" si="47"/>
        <v>-0.4642354510431209</v>
      </c>
      <c r="X278" s="55">
        <f t="shared" si="47"/>
        <v>-0.49640900145201955</v>
      </c>
      <c r="Y278" s="55">
        <f t="shared" si="47"/>
        <v>-0.3677595358147314</v>
      </c>
      <c r="Z278" s="55">
        <f t="shared" si="47"/>
        <v>-1.7084595770193051E-16</v>
      </c>
    </row>
    <row r="279" spans="1:256" s="112" customFormat="1" ht="12.75">
      <c r="A279" s="3" t="s">
        <v>317</v>
      </c>
      <c r="B279" s="55">
        <f>B277*B94+B278*B95-B267</f>
        <v>0</v>
      </c>
      <c r="C279" s="55">
        <f>C277*C94+C278*C95-C267</f>
        <v>0</v>
      </c>
      <c r="D279" s="55">
        <f>D277*D94+D278*D95-D267</f>
        <v>0</v>
      </c>
      <c r="E279" s="55">
        <f>E277*E94+E278*E95-E267</f>
        <v>0</v>
      </c>
      <c r="F279" s="55">
        <f>F277*F94+F278*F95-F267</f>
        <v>0</v>
      </c>
      <c r="G279" s="55">
        <f>G277*G94+G278*G95-G267</f>
        <v>0</v>
      </c>
      <c r="H279" s="55">
        <f>H277*H94+H278*H95-H267</f>
        <v>0</v>
      </c>
      <c r="I279" s="55">
        <f>I277*I94+I278*I95-I267</f>
        <v>0</v>
      </c>
      <c r="J279" s="55">
        <f>J277*J94+J278*J95-J267</f>
        <v>0</v>
      </c>
      <c r="K279" s="55">
        <f>K277*K94+K278*K95-K267</f>
        <v>0</v>
      </c>
      <c r="L279" s="55">
        <f>L277*L94+L278*L95-L267</f>
        <v>0</v>
      </c>
      <c r="M279" s="55">
        <f>M277*M94+M278*M95-M267</f>
        <v>0</v>
      </c>
      <c r="N279" s="55">
        <f>N277*N94+N278*N95-N267</f>
        <v>0</v>
      </c>
      <c r="O279" s="55">
        <f>O277*O94+O278*O95-O267</f>
        <v>0</v>
      </c>
      <c r="P279" s="55">
        <f>P277*P94+P278*P95-P267</f>
        <v>0</v>
      </c>
      <c r="Q279" s="55">
        <f>Q277*Q94+Q278*Q95-Q267</f>
        <v>0</v>
      </c>
      <c r="R279" s="55">
        <f>R277*R94+R278*R95-R267</f>
        <v>0</v>
      </c>
      <c r="S279" s="55">
        <f>S277*S94+S278*S95-S267</f>
        <v>0</v>
      </c>
      <c r="T279" s="55">
        <f>T277*T94+T278*T95-T267</f>
        <v>0</v>
      </c>
      <c r="U279" s="55">
        <f>U277*U94+U278*U95-U267</f>
        <v>0</v>
      </c>
      <c r="V279" s="55">
        <f>V277*V94+V278*V95-V267</f>
        <v>0</v>
      </c>
      <c r="W279" s="55">
        <f>W277*W94+W278*W95-W267</f>
        <v>0</v>
      </c>
      <c r="X279" s="55">
        <f>X277*X94+X278*X95-X267</f>
        <v>0</v>
      </c>
      <c r="Y279" s="55">
        <f>Y277*Y94+Y278*Y95-Y267</f>
        <v>0</v>
      </c>
      <c r="Z279" s="55">
        <f>Z277*Z94+Z278*Z95-Z267</f>
        <v>0</v>
      </c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  <c r="FH279" s="111"/>
      <c r="FI279" s="111"/>
      <c r="FJ279" s="111"/>
      <c r="FK279" s="111"/>
      <c r="FL279" s="111"/>
      <c r="FM279" s="111"/>
      <c r="FN279" s="111"/>
      <c r="FO279" s="111"/>
      <c r="FP279" s="111"/>
      <c r="FQ279" s="111"/>
      <c r="FR279" s="111"/>
      <c r="FS279" s="111"/>
      <c r="FT279" s="111"/>
      <c r="FU279" s="111"/>
      <c r="FV279" s="111"/>
      <c r="FW279" s="111"/>
      <c r="FX279" s="111"/>
      <c r="FY279" s="111"/>
      <c r="FZ279" s="111"/>
      <c r="GA279" s="111"/>
      <c r="GB279" s="111"/>
      <c r="GC279" s="111"/>
      <c r="GD279" s="111"/>
      <c r="GE279" s="111"/>
      <c r="GF279" s="111"/>
      <c r="GG279" s="111"/>
      <c r="GH279" s="111"/>
      <c r="GI279" s="111"/>
      <c r="GJ279" s="111"/>
      <c r="GK279" s="111"/>
      <c r="GL279" s="111"/>
      <c r="GM279" s="111"/>
      <c r="GN279" s="111"/>
      <c r="GO279" s="111"/>
      <c r="GP279" s="111"/>
      <c r="GQ279" s="111"/>
      <c r="GR279" s="111"/>
      <c r="GS279" s="111"/>
      <c r="GT279" s="111"/>
      <c r="GU279" s="111"/>
      <c r="GV279" s="111"/>
      <c r="GW279" s="111"/>
      <c r="GX279" s="111"/>
      <c r="GY279" s="111"/>
      <c r="GZ279" s="111"/>
      <c r="HA279" s="111"/>
      <c r="HB279" s="111"/>
      <c r="HC279" s="111"/>
      <c r="HD279" s="111"/>
      <c r="HE279" s="111"/>
      <c r="HF279" s="111"/>
      <c r="HG279" s="111"/>
      <c r="HH279" s="111"/>
      <c r="HI279" s="111"/>
      <c r="HJ279" s="111"/>
      <c r="HK279" s="111"/>
      <c r="HL279" s="111"/>
      <c r="HM279" s="111"/>
      <c r="HN279" s="111"/>
      <c r="HO279" s="111"/>
      <c r="HP279" s="111"/>
      <c r="HQ279" s="111"/>
      <c r="HR279" s="111"/>
      <c r="HS279" s="111"/>
      <c r="HT279" s="111"/>
      <c r="HU279" s="111"/>
      <c r="HV279" s="111"/>
      <c r="HW279" s="111"/>
      <c r="HX279" s="111"/>
      <c r="HY279" s="111"/>
      <c r="HZ279" s="111"/>
      <c r="IA279" s="111"/>
      <c r="IB279" s="111"/>
      <c r="IC279" s="111"/>
      <c r="ID279" s="111"/>
      <c r="IE279" s="111"/>
      <c r="IF279" s="111"/>
      <c r="IG279" s="111"/>
      <c r="IH279" s="111"/>
      <c r="II279" s="111"/>
      <c r="IJ279" s="111"/>
      <c r="IK279" s="111"/>
      <c r="IL279" s="111"/>
      <c r="IM279" s="111"/>
      <c r="IN279" s="111"/>
      <c r="IO279" s="111"/>
      <c r="IP279" s="111"/>
      <c r="IQ279" s="111"/>
      <c r="IR279" s="111"/>
      <c r="IS279" s="111"/>
      <c r="IT279" s="111"/>
      <c r="IU279" s="111"/>
      <c r="IV279" s="111"/>
    </row>
    <row r="280" spans="1:26" s="121" customFormat="1" ht="12.75">
      <c r="A280" s="43" t="s">
        <v>310</v>
      </c>
      <c r="B280" s="43">
        <f>O8*S5</f>
        <v>10</v>
      </c>
      <c r="C280" s="77" t="s">
        <v>237</v>
      </c>
      <c r="D280" s="77"/>
      <c r="E280" s="77"/>
      <c r="F280" s="77"/>
      <c r="G280" s="77"/>
      <c r="H280" s="77"/>
      <c r="I280" s="77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56" ht="12.75">
      <c r="A281" t="s">
        <v>252</v>
      </c>
      <c r="B281" s="5">
        <f>B233+B268</f>
        <v>-0.4302853645796935</v>
      </c>
      <c r="C281" s="5">
        <f>C233+C268</f>
        <v>-0.344452737285285</v>
      </c>
      <c r="D281" s="5">
        <f>D233+D268</f>
        <v>0.06995002637595893</v>
      </c>
      <c r="E281" s="5">
        <f>E233+E268</f>
        <v>0.8233877460431183</v>
      </c>
      <c r="F281" s="5">
        <f>F233+F268</f>
        <v>1.5332181612464908</v>
      </c>
      <c r="G281" s="5">
        <f>G233+G268</f>
        <v>1.6734669529478412</v>
      </c>
      <c r="H281" s="5">
        <f>H233+H268</f>
        <v>1.153623545083098</v>
      </c>
      <c r="I281" s="5">
        <f>I233+I268</f>
        <v>0.4833566301232409</v>
      </c>
      <c r="J281" s="5">
        <f>J233+J268</f>
        <v>0.17936666452791644</v>
      </c>
      <c r="K281" s="5">
        <f>K233+K268</f>
        <v>0.19156551338330147</v>
      </c>
      <c r="L281" s="5">
        <f>L233+L268</f>
        <v>0.13180037019144358</v>
      </c>
      <c r="M281" s="5">
        <f>M233+M268</f>
        <v>-0.07197222689448521</v>
      </c>
      <c r="N281" s="5">
        <f>N233+N268</f>
        <v>-0.07765014660093902</v>
      </c>
      <c r="O281" s="5">
        <f>O233+O268</f>
        <v>0.28043336004519703</v>
      </c>
      <c r="P281" s="5">
        <f>P233+P268</f>
        <v>0.6206780924499538</v>
      </c>
      <c r="Q281" s="5">
        <f>Q233+Q268</f>
        <v>0.4566945529165236</v>
      </c>
      <c r="R281" s="5">
        <f>R233+R268</f>
        <v>-0.1599285007597253</v>
      </c>
      <c r="S281" s="5">
        <f>S233+S268</f>
        <v>-0.719111392119071</v>
      </c>
      <c r="T281" s="5">
        <f>T233+T268</f>
        <v>-0.9272681549470865</v>
      </c>
      <c r="U281" s="5">
        <f>U233+U268</f>
        <v>-0.9946530389634843</v>
      </c>
      <c r="V281" s="5">
        <f>V233+V268</f>
        <v>-1.1570120611719488</v>
      </c>
      <c r="W281" s="5">
        <f>W233+W268</f>
        <v>-1.2257958449031927</v>
      </c>
      <c r="X281" s="5">
        <f>X233+X268</f>
        <v>-0.9387804632239913</v>
      </c>
      <c r="Y281" s="5">
        <f>Y233+Y268</f>
        <v>-0.5506317897890829</v>
      </c>
      <c r="Z281" s="5">
        <f>Z233+Z268</f>
        <v>-0.43028536457969446</v>
      </c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8"/>
      <c r="DL281" s="108"/>
      <c r="DM281" s="108"/>
      <c r="DN281" s="108"/>
      <c r="DO281" s="108"/>
      <c r="DP281" s="108"/>
      <c r="DQ281" s="108"/>
      <c r="DR281" s="108"/>
      <c r="DS281" s="108"/>
      <c r="DT281" s="108"/>
      <c r="DU281" s="108"/>
      <c r="DV281" s="108"/>
      <c r="DW281" s="108"/>
      <c r="DX281" s="108"/>
      <c r="DY281" s="108"/>
      <c r="DZ281" s="108"/>
      <c r="EA281" s="108"/>
      <c r="EB281" s="108"/>
      <c r="EC281" s="108"/>
      <c r="ED281" s="108"/>
      <c r="EE281" s="108"/>
      <c r="EF281" s="108"/>
      <c r="EG281" s="108"/>
      <c r="EH281" s="108"/>
      <c r="EI281" s="108"/>
      <c r="EJ281" s="108"/>
      <c r="EK281" s="108"/>
      <c r="EL281" s="108"/>
      <c r="EM281" s="108"/>
      <c r="EN281" s="108"/>
      <c r="EO281" s="108"/>
      <c r="EP281" s="108"/>
      <c r="EQ281" s="108"/>
      <c r="ER281" s="108"/>
      <c r="ES281" s="108"/>
      <c r="ET281" s="108"/>
      <c r="EU281" s="108"/>
      <c r="EV281" s="108"/>
      <c r="EW281" s="108"/>
      <c r="EX281" s="108"/>
      <c r="EY281" s="108"/>
      <c r="EZ281" s="108"/>
      <c r="FA281" s="108"/>
      <c r="FB281" s="108"/>
      <c r="FC281" s="108"/>
      <c r="FD281" s="108"/>
      <c r="FE281" s="108"/>
      <c r="FF281" s="108"/>
      <c r="FG281" s="108"/>
      <c r="FH281" s="108"/>
      <c r="FI281" s="108"/>
      <c r="FJ281" s="108"/>
      <c r="FK281" s="108"/>
      <c r="FL281" s="108"/>
      <c r="FM281" s="108"/>
      <c r="FN281" s="108"/>
      <c r="FO281" s="108"/>
      <c r="FP281" s="108"/>
      <c r="FQ281" s="108"/>
      <c r="FR281" s="108"/>
      <c r="FS281" s="108"/>
      <c r="FT281" s="108"/>
      <c r="FU281" s="108"/>
      <c r="FV281" s="108"/>
      <c r="FW281" s="108"/>
      <c r="FX281" s="108"/>
      <c r="FY281" s="108"/>
      <c r="FZ281" s="108"/>
      <c r="GA281" s="108"/>
      <c r="GB281" s="108"/>
      <c r="GC281" s="108"/>
      <c r="GD281" s="108"/>
      <c r="GE281" s="108"/>
      <c r="GF281" s="108"/>
      <c r="GG281" s="108"/>
      <c r="GH281" s="108"/>
      <c r="GI281" s="108"/>
      <c r="GJ281" s="108"/>
      <c r="GK281" s="108"/>
      <c r="GL281" s="108"/>
      <c r="GM281" s="108"/>
      <c r="GN281" s="108"/>
      <c r="GO281" s="108"/>
      <c r="GP281" s="108"/>
      <c r="GQ281" s="108"/>
      <c r="GR281" s="108"/>
      <c r="GS281" s="108"/>
      <c r="GT281" s="108"/>
      <c r="GU281" s="108"/>
      <c r="GV281" s="108"/>
      <c r="GW281" s="108"/>
      <c r="GX281" s="108"/>
      <c r="GY281" s="108"/>
      <c r="GZ281" s="108"/>
      <c r="HA281" s="108"/>
      <c r="HB281" s="108"/>
      <c r="HC281" s="108"/>
      <c r="HD281" s="108"/>
      <c r="HE281" s="108"/>
      <c r="HF281" s="108"/>
      <c r="HG281" s="108"/>
      <c r="HH281" s="108"/>
      <c r="HI281" s="108"/>
      <c r="HJ281" s="108"/>
      <c r="HK281" s="108"/>
      <c r="HL281" s="108"/>
      <c r="HM281" s="108"/>
      <c r="HN281" s="108"/>
      <c r="HO281" s="108"/>
      <c r="HP281" s="108"/>
      <c r="HQ281" s="108"/>
      <c r="HR281" s="108"/>
      <c r="HS281" s="108"/>
      <c r="HT281" s="108"/>
      <c r="HU281" s="108"/>
      <c r="HV281" s="108"/>
      <c r="HW281" s="108"/>
      <c r="HX281" s="108"/>
      <c r="HY281" s="108"/>
      <c r="HZ281" s="108"/>
      <c r="IA281" s="108"/>
      <c r="IB281" s="108"/>
      <c r="IC281" s="108"/>
      <c r="ID281" s="108"/>
      <c r="IE281" s="108"/>
      <c r="IF281" s="108"/>
      <c r="IG281" s="108"/>
      <c r="IH281" s="108"/>
      <c r="II281" s="108"/>
      <c r="IJ281" s="108"/>
      <c r="IK281" s="108"/>
      <c r="IL281" s="108"/>
      <c r="IM281" s="108"/>
      <c r="IN281" s="108"/>
      <c r="IO281" s="108"/>
      <c r="IP281" s="108"/>
      <c r="IQ281" s="108"/>
      <c r="IR281" s="108"/>
      <c r="IS281" s="108"/>
      <c r="IT281" s="108"/>
      <c r="IU281" s="108"/>
      <c r="IV281" s="108"/>
    </row>
    <row r="282" spans="1:256" ht="12.75">
      <c r="A282" t="s">
        <v>253</v>
      </c>
      <c r="B282" s="6">
        <f>B234+B269+$B$280</f>
        <v>9.254723886794674</v>
      </c>
      <c r="C282" s="6">
        <f>C234+C269+$B$280</f>
        <v>9.403390358215713</v>
      </c>
      <c r="D282" s="6">
        <f>D234+D269+$B$280</f>
        <v>10.121156999673945</v>
      </c>
      <c r="E282" s="6">
        <f>E234+E269+$B$280</f>
        <v>11.4261494104763</v>
      </c>
      <c r="F282" s="6">
        <f>F234+F269+$B$280</f>
        <v>12.655611754366253</v>
      </c>
      <c r="G282" s="6">
        <f>G234+G269+$B$280</f>
        <v>12.898529787293135</v>
      </c>
      <c r="H282" s="6">
        <f>H234+H269+$B$280</f>
        <v>11.99813459289165</v>
      </c>
      <c r="I282" s="6">
        <f>I234+I269+$B$280</f>
        <v>10.83719824154873</v>
      </c>
      <c r="J282" s="6">
        <f>J234+J269+$B$280</f>
        <v>10.310672176146513</v>
      </c>
      <c r="K282" s="6">
        <f>K234+K269+$B$280</f>
        <v>10.331801202157894</v>
      </c>
      <c r="L282" s="6">
        <f>L234+L269+$B$280</f>
        <v>10.228284937627967</v>
      </c>
      <c r="M282" s="6">
        <f>M234+M269+$B$280</f>
        <v>9.875340446284875</v>
      </c>
      <c r="N282" s="6">
        <f>N234+N269+$B$280</f>
        <v>9.865506000872001</v>
      </c>
      <c r="O282" s="6">
        <f>O234+O269+$B$280</f>
        <v>10.485724827735536</v>
      </c>
      <c r="P282" s="6">
        <f>P234+P269+$B$280</f>
        <v>11.075045991268253</v>
      </c>
      <c r="Q282" s="6">
        <f>Q234+Q269+$B$280</f>
        <v>10.791018169191371</v>
      </c>
      <c r="R282" s="6">
        <f>R234+R269+$B$280</f>
        <v>9.722995711105838</v>
      </c>
      <c r="S282" s="6">
        <f>S234+S269+$B$280</f>
        <v>8.754462532548184</v>
      </c>
      <c r="T282" s="6">
        <f>T234+T269+$B$280</f>
        <v>8.393924443390997</v>
      </c>
      <c r="U282" s="6">
        <f>U234+U269+$B$280</f>
        <v>8.27721040061246</v>
      </c>
      <c r="V282" s="6">
        <f>V234+V269+$B$280</f>
        <v>7.9959963250801955</v>
      </c>
      <c r="W282" s="6">
        <f>W234+W269+$B$280</f>
        <v>7.876859316920852</v>
      </c>
      <c r="X282" s="6">
        <f>X234+X269+$B$280</f>
        <v>8.373984540543</v>
      </c>
      <c r="Y282" s="6">
        <f>Y234+Y269+$B$280</f>
        <v>9.046277763822724</v>
      </c>
      <c r="Z282" s="6">
        <f>Z234+Z269+$B$280</f>
        <v>9.254723886794672</v>
      </c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0"/>
      <c r="CO282" s="110"/>
      <c r="CP282" s="110"/>
      <c r="CQ282" s="110"/>
      <c r="CR282" s="110"/>
      <c r="CS282" s="110"/>
      <c r="CT282" s="110"/>
      <c r="CU282" s="110"/>
      <c r="CV282" s="110"/>
      <c r="CW282" s="110"/>
      <c r="CX282" s="110"/>
      <c r="CY282" s="110"/>
      <c r="CZ282" s="110"/>
      <c r="DA282" s="110"/>
      <c r="DB282" s="110"/>
      <c r="DC282" s="110"/>
      <c r="DD282" s="110"/>
      <c r="DE282" s="110"/>
      <c r="DF282" s="110"/>
      <c r="DG282" s="110"/>
      <c r="DH282" s="110"/>
      <c r="DI282" s="110"/>
      <c r="DJ282" s="110"/>
      <c r="DK282" s="110"/>
      <c r="DL282" s="110"/>
      <c r="DM282" s="110"/>
      <c r="DN282" s="110"/>
      <c r="DO282" s="110"/>
      <c r="DP282" s="110"/>
      <c r="DQ282" s="110"/>
      <c r="DR282" s="110"/>
      <c r="DS282" s="110"/>
      <c r="DT282" s="110"/>
      <c r="DU282" s="110"/>
      <c r="DV282" s="110"/>
      <c r="DW282" s="110"/>
      <c r="DX282" s="110"/>
      <c r="DY282" s="110"/>
      <c r="DZ282" s="110"/>
      <c r="EA282" s="110"/>
      <c r="EB282" s="110"/>
      <c r="EC282" s="110"/>
      <c r="ED282" s="110"/>
      <c r="EE282" s="110"/>
      <c r="EF282" s="110"/>
      <c r="EG282" s="110"/>
      <c r="EH282" s="110"/>
      <c r="EI282" s="110"/>
      <c r="EJ282" s="110"/>
      <c r="EK282" s="110"/>
      <c r="EL282" s="110"/>
      <c r="EM282" s="110"/>
      <c r="EN282" s="110"/>
      <c r="EO282" s="110"/>
      <c r="EP282" s="110"/>
      <c r="EQ282" s="110"/>
      <c r="ER282" s="110"/>
      <c r="ES282" s="110"/>
      <c r="ET282" s="110"/>
      <c r="EU282" s="110"/>
      <c r="EV282" s="110"/>
      <c r="EW282" s="110"/>
      <c r="EX282" s="110"/>
      <c r="EY282" s="110"/>
      <c r="EZ282" s="110"/>
      <c r="FA282" s="110"/>
      <c r="FB282" s="110"/>
      <c r="FC282" s="110"/>
      <c r="FD282" s="110"/>
      <c r="FE282" s="110"/>
      <c r="FF282" s="110"/>
      <c r="FG282" s="110"/>
      <c r="FH282" s="110"/>
      <c r="FI282" s="110"/>
      <c r="FJ282" s="110"/>
      <c r="FK282" s="110"/>
      <c r="FL282" s="110"/>
      <c r="FM282" s="110"/>
      <c r="FN282" s="110"/>
      <c r="FO282" s="110"/>
      <c r="FP282" s="110"/>
      <c r="FQ282" s="110"/>
      <c r="FR282" s="110"/>
      <c r="FS282" s="110"/>
      <c r="FT282" s="110"/>
      <c r="FU282" s="110"/>
      <c r="FV282" s="110"/>
      <c r="FW282" s="110"/>
      <c r="FX282" s="110"/>
      <c r="FY282" s="110"/>
      <c r="FZ282" s="110"/>
      <c r="GA282" s="110"/>
      <c r="GB282" s="110"/>
      <c r="GC282" s="110"/>
      <c r="GD282" s="110"/>
      <c r="GE282" s="110"/>
      <c r="GF282" s="110"/>
      <c r="GG282" s="110"/>
      <c r="GH282" s="110"/>
      <c r="GI282" s="110"/>
      <c r="GJ282" s="110"/>
      <c r="GK282" s="110"/>
      <c r="GL282" s="110"/>
      <c r="GM282" s="110"/>
      <c r="GN282" s="110"/>
      <c r="GO282" s="110"/>
      <c r="GP282" s="110"/>
      <c r="GQ282" s="110"/>
      <c r="GR282" s="110"/>
      <c r="GS282" s="110"/>
      <c r="GT282" s="110"/>
      <c r="GU282" s="110"/>
      <c r="GV282" s="110"/>
      <c r="GW282" s="110"/>
      <c r="GX282" s="110"/>
      <c r="GY282" s="110"/>
      <c r="GZ282" s="110"/>
      <c r="HA282" s="110"/>
      <c r="HB282" s="110"/>
      <c r="HC282" s="110"/>
      <c r="HD282" s="110"/>
      <c r="HE282" s="110"/>
      <c r="HF282" s="110"/>
      <c r="HG282" s="110"/>
      <c r="HH282" s="110"/>
      <c r="HI282" s="110"/>
      <c r="HJ282" s="110"/>
      <c r="HK282" s="110"/>
      <c r="HL282" s="110"/>
      <c r="HM282" s="110"/>
      <c r="HN282" s="110"/>
      <c r="HO282" s="110"/>
      <c r="HP282" s="110"/>
      <c r="HQ282" s="110"/>
      <c r="HR282" s="110"/>
      <c r="HS282" s="110"/>
      <c r="HT282" s="110"/>
      <c r="HU282" s="110"/>
      <c r="HV282" s="110"/>
      <c r="HW282" s="110"/>
      <c r="HX282" s="110"/>
      <c r="HY282" s="110"/>
      <c r="HZ282" s="110"/>
      <c r="IA282" s="110"/>
      <c r="IB282" s="110"/>
      <c r="IC282" s="110"/>
      <c r="ID282" s="110"/>
      <c r="IE282" s="110"/>
      <c r="IF282" s="110"/>
      <c r="IG282" s="110"/>
      <c r="IH282" s="110"/>
      <c r="II282" s="110"/>
      <c r="IJ282" s="110"/>
      <c r="IK282" s="110"/>
      <c r="IL282" s="110"/>
      <c r="IM282" s="110"/>
      <c r="IN282" s="110"/>
      <c r="IO282" s="110"/>
      <c r="IP282" s="110"/>
      <c r="IQ282" s="110"/>
      <c r="IR282" s="110"/>
      <c r="IS282" s="110"/>
      <c r="IT282" s="110"/>
      <c r="IU282" s="110"/>
      <c r="IV282" s="110"/>
    </row>
    <row r="283" spans="1:256" ht="12.75">
      <c r="A283" t="s">
        <v>311</v>
      </c>
      <c r="B283" s="5">
        <f>B234+B269</f>
        <v>-0.7452761132053273</v>
      </c>
      <c r="C283" s="5">
        <f>C234+C269</f>
        <v>-0.5966096417842874</v>
      </c>
      <c r="D283" s="5">
        <f>D234+D269</f>
        <v>0.121156999673945</v>
      </c>
      <c r="E283" s="5">
        <f>E234+E269</f>
        <v>1.4261494104763008</v>
      </c>
      <c r="F283" s="5">
        <f>F234+F269</f>
        <v>2.655611754366253</v>
      </c>
      <c r="G283" s="5">
        <f>G234+G269</f>
        <v>2.8985297872931364</v>
      </c>
      <c r="H283" s="5">
        <f>H234+H269</f>
        <v>1.9981345928916505</v>
      </c>
      <c r="I283" s="5">
        <f>I234+I269</f>
        <v>0.8371982415487306</v>
      </c>
      <c r="J283" s="5">
        <f>J234+J269</f>
        <v>0.3106721761465134</v>
      </c>
      <c r="K283" s="5">
        <f>K234+K269</f>
        <v>0.3318012021578937</v>
      </c>
      <c r="L283" s="5">
        <f>L234+L269</f>
        <v>0.22828493762796687</v>
      </c>
      <c r="M283" s="5">
        <f>M234+M269</f>
        <v>-0.12465955371512386</v>
      </c>
      <c r="N283" s="5">
        <f>N234+N269</f>
        <v>-0.1344939991279982</v>
      </c>
      <c r="O283" s="5">
        <f>O234+O269</f>
        <v>0.4857248277355371</v>
      </c>
      <c r="P283" s="5">
        <f>P234+P269</f>
        <v>1.0750459912682524</v>
      </c>
      <c r="Q283" s="5">
        <f>Q234+Q269</f>
        <v>0.7910181691913719</v>
      </c>
      <c r="R283" s="5">
        <f>R234+R269</f>
        <v>-0.27700428889416195</v>
      </c>
      <c r="S283" s="5">
        <f>S234+S269</f>
        <v>-1.245537467451816</v>
      </c>
      <c r="T283" s="5">
        <f>T234+T269</f>
        <v>-1.6060755566090033</v>
      </c>
      <c r="U283" s="5">
        <f>U234+U269</f>
        <v>-1.7227895993875402</v>
      </c>
      <c r="V283" s="5">
        <f>V234+V269</f>
        <v>-2.004003674919805</v>
      </c>
      <c r="W283" s="5">
        <f>W234+W269</f>
        <v>-2.123140683079148</v>
      </c>
      <c r="X283" s="5">
        <f>X234+X269</f>
        <v>-1.6260154594569987</v>
      </c>
      <c r="Y283" s="5">
        <f>Y234+Y269</f>
        <v>-0.9537222361772755</v>
      </c>
      <c r="Z283" s="5">
        <f>Z234+Z269</f>
        <v>-0.7452761132053287</v>
      </c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08"/>
      <c r="DM283" s="108"/>
      <c r="DN283" s="108"/>
      <c r="DO283" s="108"/>
      <c r="DP283" s="108"/>
      <c r="DQ283" s="108"/>
      <c r="DR283" s="108"/>
      <c r="DS283" s="108"/>
      <c r="DT283" s="108"/>
      <c r="DU283" s="108"/>
      <c r="DV283" s="108"/>
      <c r="DW283" s="108"/>
      <c r="DX283" s="108"/>
      <c r="DY283" s="108"/>
      <c r="DZ283" s="108"/>
      <c r="EA283" s="108"/>
      <c r="EB283" s="108"/>
      <c r="EC283" s="108"/>
      <c r="ED283" s="108"/>
      <c r="EE283" s="108"/>
      <c r="EF283" s="108"/>
      <c r="EG283" s="108"/>
      <c r="EH283" s="108"/>
      <c r="EI283" s="108"/>
      <c r="EJ283" s="108"/>
      <c r="EK283" s="108"/>
      <c r="EL283" s="108"/>
      <c r="EM283" s="108"/>
      <c r="EN283" s="108"/>
      <c r="EO283" s="108"/>
      <c r="EP283" s="108"/>
      <c r="EQ283" s="108"/>
      <c r="ER283" s="108"/>
      <c r="ES283" s="108"/>
      <c r="ET283" s="108"/>
      <c r="EU283" s="108"/>
      <c r="EV283" s="108"/>
      <c r="EW283" s="108"/>
      <c r="EX283" s="108"/>
      <c r="EY283" s="108"/>
      <c r="EZ283" s="108"/>
      <c r="FA283" s="108"/>
      <c r="FB283" s="108"/>
      <c r="FC283" s="108"/>
      <c r="FD283" s="108"/>
      <c r="FE283" s="108"/>
      <c r="FF283" s="108"/>
      <c r="FG283" s="108"/>
      <c r="FH283" s="108"/>
      <c r="FI283" s="108"/>
      <c r="FJ283" s="108"/>
      <c r="FK283" s="108"/>
      <c r="FL283" s="108"/>
      <c r="FM283" s="108"/>
      <c r="FN283" s="108"/>
      <c r="FO283" s="108"/>
      <c r="FP283" s="108"/>
      <c r="FQ283" s="108"/>
      <c r="FR283" s="108"/>
      <c r="FS283" s="108"/>
      <c r="FT283" s="108"/>
      <c r="FU283" s="108"/>
      <c r="FV283" s="108"/>
      <c r="FW283" s="108"/>
      <c r="FX283" s="108"/>
      <c r="FY283" s="108"/>
      <c r="FZ283" s="108"/>
      <c r="GA283" s="108"/>
      <c r="GB283" s="108"/>
      <c r="GC283" s="108"/>
      <c r="GD283" s="108"/>
      <c r="GE283" s="108"/>
      <c r="GF283" s="108"/>
      <c r="GG283" s="108"/>
      <c r="GH283" s="108"/>
      <c r="GI283" s="108"/>
      <c r="GJ283" s="108"/>
      <c r="GK283" s="108"/>
      <c r="GL283" s="108"/>
      <c r="GM283" s="108"/>
      <c r="GN283" s="108"/>
      <c r="GO283" s="108"/>
      <c r="GP283" s="108"/>
      <c r="GQ283" s="108"/>
      <c r="GR283" s="108"/>
      <c r="GS283" s="108"/>
      <c r="GT283" s="108"/>
      <c r="GU283" s="108"/>
      <c r="GV283" s="108"/>
      <c r="GW283" s="108"/>
      <c r="GX283" s="108"/>
      <c r="GY283" s="108"/>
      <c r="GZ283" s="108"/>
      <c r="HA283" s="108"/>
      <c r="HB283" s="108"/>
      <c r="HC283" s="108"/>
      <c r="HD283" s="108"/>
      <c r="HE283" s="108"/>
      <c r="HF283" s="108"/>
      <c r="HG283" s="108"/>
      <c r="HH283" s="108"/>
      <c r="HI283" s="108"/>
      <c r="HJ283" s="108"/>
      <c r="HK283" s="108"/>
      <c r="HL283" s="108"/>
      <c r="HM283" s="108"/>
      <c r="HN283" s="108"/>
      <c r="HO283" s="108"/>
      <c r="HP283" s="108"/>
      <c r="HQ283" s="108"/>
      <c r="HR283" s="108"/>
      <c r="HS283" s="108"/>
      <c r="HT283" s="108"/>
      <c r="HU283" s="108"/>
      <c r="HV283" s="108"/>
      <c r="HW283" s="108"/>
      <c r="HX283" s="108"/>
      <c r="HY283" s="108"/>
      <c r="HZ283" s="108"/>
      <c r="IA283" s="108"/>
      <c r="IB283" s="108"/>
      <c r="IC283" s="108"/>
      <c r="ID283" s="108"/>
      <c r="IE283" s="108"/>
      <c r="IF283" s="108"/>
      <c r="IG283" s="108"/>
      <c r="IH283" s="108"/>
      <c r="II283" s="108"/>
      <c r="IJ283" s="108"/>
      <c r="IK283" s="108"/>
      <c r="IL283" s="108"/>
      <c r="IM283" s="108"/>
      <c r="IN283" s="108"/>
      <c r="IO283" s="108"/>
      <c r="IP283" s="108"/>
      <c r="IQ283" s="108"/>
      <c r="IR283" s="108"/>
      <c r="IS283" s="108"/>
      <c r="IT283" s="108"/>
      <c r="IU283" s="108"/>
      <c r="IV283" s="108"/>
    </row>
    <row r="284" spans="1:256" ht="12.75">
      <c r="A284" t="s">
        <v>317</v>
      </c>
      <c r="B284" s="5">
        <f>B281*B83+B282*B84-B266-B236-B237</f>
        <v>0</v>
      </c>
      <c r="C284" s="5">
        <f>C281*C83+C282*C84-C266-C236-C237</f>
        <v>0</v>
      </c>
      <c r="D284" s="5">
        <f>D281*D83+D282*D84-D266-D236-D237</f>
        <v>0</v>
      </c>
      <c r="E284" s="5">
        <f>E281*E83+E282*E84-E266-E236-E237</f>
        <v>0</v>
      </c>
      <c r="F284" s="5">
        <f>F281*F83+F282*F84-F266-F236-F237</f>
        <v>0</v>
      </c>
      <c r="G284" s="5">
        <f>G281*G83+G282*G84-G266-G236-G237</f>
        <v>0</v>
      </c>
      <c r="H284" s="5">
        <f>H281*H83+H282*H84-H266-H236-H237</f>
        <v>0</v>
      </c>
      <c r="I284" s="5">
        <f>I281*I83+I282*I84-I266-I236-I237</f>
        <v>0</v>
      </c>
      <c r="J284" s="5">
        <f>J281*J83+J282*J84-J266-J236-J237</f>
        <v>0</v>
      </c>
      <c r="K284" s="5">
        <f>K281*K83+K282*K84-K266-K236-K237</f>
        <v>0</v>
      </c>
      <c r="L284" s="5">
        <f>L281*L83+L282*L84-L266-L236-L237</f>
        <v>0</v>
      </c>
      <c r="M284" s="5">
        <f>M281*M83+M282*M84-M266-M236-M237</f>
        <v>0</v>
      </c>
      <c r="N284" s="5">
        <f>N281*N83+N282*N84-N266-N236-N237</f>
        <v>0</v>
      </c>
      <c r="O284" s="5">
        <f>O281*O83+O282*O84-O266-O236-O237</f>
        <v>0</v>
      </c>
      <c r="P284" s="5">
        <f>P281*P83+P282*P84-P266-P236-P237</f>
        <v>0</v>
      </c>
      <c r="Q284" s="5">
        <f>Q281*Q83+Q282*Q84-Q266-Q236-Q237</f>
        <v>0</v>
      </c>
      <c r="R284" s="5">
        <f>R281*R83+R282*R84-R266-R236-R237</f>
        <v>0</v>
      </c>
      <c r="S284" s="5">
        <f>S281*S83+S282*S84-S266-S236-S237</f>
        <v>0</v>
      </c>
      <c r="T284" s="5">
        <f>T281*T83+T282*T84-T266-T236-T237</f>
        <v>0</v>
      </c>
      <c r="U284" s="5">
        <f>U281*U83+U282*U84-U266-U236-U237</f>
        <v>0</v>
      </c>
      <c r="V284" s="5">
        <f>V281*V83+V282*V84-V266-V236-V237</f>
        <v>0</v>
      </c>
      <c r="W284" s="5">
        <f>W281*W83+W282*W84-W266-W236-W237</f>
        <v>0</v>
      </c>
      <c r="X284" s="5">
        <f>X281*X83+X282*X84-X266-X236-X237</f>
        <v>0</v>
      </c>
      <c r="Y284" s="5">
        <f>Y281*Y83+Y282*Y84-Y266-Y236-Y237</f>
        <v>0</v>
      </c>
      <c r="Z284" s="5">
        <f>Z281*Z83+Z282*Z84-Z266-Z236-Z237</f>
        <v>0</v>
      </c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08"/>
      <c r="DJ284" s="108"/>
      <c r="DK284" s="108"/>
      <c r="DL284" s="108"/>
      <c r="DM284" s="108"/>
      <c r="DN284" s="108"/>
      <c r="DO284" s="108"/>
      <c r="DP284" s="108"/>
      <c r="DQ284" s="108"/>
      <c r="DR284" s="108"/>
      <c r="DS284" s="108"/>
      <c r="DT284" s="108"/>
      <c r="DU284" s="108"/>
      <c r="DV284" s="108"/>
      <c r="DW284" s="108"/>
      <c r="DX284" s="108"/>
      <c r="DY284" s="108"/>
      <c r="DZ284" s="108"/>
      <c r="EA284" s="108"/>
      <c r="EB284" s="108"/>
      <c r="EC284" s="108"/>
      <c r="ED284" s="108"/>
      <c r="EE284" s="108"/>
      <c r="EF284" s="108"/>
      <c r="EG284" s="108"/>
      <c r="EH284" s="108"/>
      <c r="EI284" s="108"/>
      <c r="EJ284" s="108"/>
      <c r="EK284" s="108"/>
      <c r="EL284" s="108"/>
      <c r="EM284" s="108"/>
      <c r="EN284" s="108"/>
      <c r="EO284" s="108"/>
      <c r="EP284" s="108"/>
      <c r="EQ284" s="108"/>
      <c r="ER284" s="108"/>
      <c r="ES284" s="108"/>
      <c r="ET284" s="108"/>
      <c r="EU284" s="108"/>
      <c r="EV284" s="108"/>
      <c r="EW284" s="108"/>
      <c r="EX284" s="108"/>
      <c r="EY284" s="108"/>
      <c r="EZ284" s="108"/>
      <c r="FA284" s="108"/>
      <c r="FB284" s="108"/>
      <c r="FC284" s="108"/>
      <c r="FD284" s="108"/>
      <c r="FE284" s="108"/>
      <c r="FF284" s="108"/>
      <c r="FG284" s="108"/>
      <c r="FH284" s="108"/>
      <c r="FI284" s="108"/>
      <c r="FJ284" s="108"/>
      <c r="FK284" s="108"/>
      <c r="FL284" s="108"/>
      <c r="FM284" s="108"/>
      <c r="FN284" s="108"/>
      <c r="FO284" s="108"/>
      <c r="FP284" s="108"/>
      <c r="FQ284" s="108"/>
      <c r="FR284" s="108"/>
      <c r="FS284" s="108"/>
      <c r="FT284" s="108"/>
      <c r="FU284" s="108"/>
      <c r="FV284" s="108"/>
      <c r="FW284" s="108"/>
      <c r="FX284" s="108"/>
      <c r="FY284" s="108"/>
      <c r="FZ284" s="108"/>
      <c r="GA284" s="108"/>
      <c r="GB284" s="108"/>
      <c r="GC284" s="108"/>
      <c r="GD284" s="108"/>
      <c r="GE284" s="108"/>
      <c r="GF284" s="108"/>
      <c r="GG284" s="108"/>
      <c r="GH284" s="108"/>
      <c r="GI284" s="108"/>
      <c r="GJ284" s="108"/>
      <c r="GK284" s="108"/>
      <c r="GL284" s="108"/>
      <c r="GM284" s="108"/>
      <c r="GN284" s="108"/>
      <c r="GO284" s="108"/>
      <c r="GP284" s="108"/>
      <c r="GQ284" s="108"/>
      <c r="GR284" s="108"/>
      <c r="GS284" s="108"/>
      <c r="GT284" s="108"/>
      <c r="GU284" s="108"/>
      <c r="GV284" s="108"/>
      <c r="GW284" s="108"/>
      <c r="GX284" s="108"/>
      <c r="GY284" s="108"/>
      <c r="GZ284" s="108"/>
      <c r="HA284" s="108"/>
      <c r="HB284" s="108"/>
      <c r="HC284" s="108"/>
      <c r="HD284" s="108"/>
      <c r="HE284" s="108"/>
      <c r="HF284" s="108"/>
      <c r="HG284" s="108"/>
      <c r="HH284" s="108"/>
      <c r="HI284" s="108"/>
      <c r="HJ284" s="108"/>
      <c r="HK284" s="108"/>
      <c r="HL284" s="108"/>
      <c r="HM284" s="108"/>
      <c r="HN284" s="108"/>
      <c r="HO284" s="108"/>
      <c r="HP284" s="108"/>
      <c r="HQ284" s="108"/>
      <c r="HR284" s="108"/>
      <c r="HS284" s="108"/>
      <c r="HT284" s="108"/>
      <c r="HU284" s="108"/>
      <c r="HV284" s="108"/>
      <c r="HW284" s="108"/>
      <c r="HX284" s="108"/>
      <c r="HY284" s="108"/>
      <c r="HZ284" s="108"/>
      <c r="IA284" s="108"/>
      <c r="IB284" s="108"/>
      <c r="IC284" s="108"/>
      <c r="ID284" s="108"/>
      <c r="IE284" s="108"/>
      <c r="IF284" s="108"/>
      <c r="IG284" s="108"/>
      <c r="IH284" s="108"/>
      <c r="II284" s="108"/>
      <c r="IJ284" s="108"/>
      <c r="IK284" s="108"/>
      <c r="IL284" s="108"/>
      <c r="IM284" s="108"/>
      <c r="IN284" s="108"/>
      <c r="IO284" s="108"/>
      <c r="IP284" s="108"/>
      <c r="IQ284" s="108"/>
      <c r="IR284" s="108"/>
      <c r="IS284" s="108"/>
      <c r="IT284" s="108"/>
      <c r="IU284" s="108"/>
      <c r="IV284" s="108"/>
    </row>
    <row r="285" spans="1:26" s="121" customFormat="1" ht="12.75">
      <c r="A285" s="46" t="s">
        <v>313</v>
      </c>
      <c r="B285" s="47">
        <f>O9*S5</f>
        <v>10</v>
      </c>
      <c r="C285" s="80" t="s">
        <v>238</v>
      </c>
      <c r="D285" s="80"/>
      <c r="E285" s="80"/>
      <c r="F285" s="80"/>
      <c r="G285" s="80"/>
      <c r="H285" s="80"/>
      <c r="I285" s="80"/>
      <c r="J285" s="80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56" ht="12.75">
      <c r="A286" t="s">
        <v>254</v>
      </c>
      <c r="B286" s="5">
        <f>B241+B277</f>
        <v>8.172417100857952</v>
      </c>
      <c r="C286" s="5">
        <f>C241+C277</f>
        <v>3.813756588392268</v>
      </c>
      <c r="D286" s="5">
        <f>D241+D277</f>
        <v>-1.9090839338913623</v>
      </c>
      <c r="E286" s="5">
        <f>E241+E277</f>
        <v>0.379217547819497</v>
      </c>
      <c r="F286" s="5">
        <f>F241+F277</f>
        <v>0.7028934689622295</v>
      </c>
      <c r="G286" s="5">
        <f>G241+G277</f>
        <v>-2.513956525773041</v>
      </c>
      <c r="H286" s="5">
        <f>H241+H277</f>
        <v>2.5918965036830075</v>
      </c>
      <c r="I286" s="5">
        <f>I241+I277</f>
        <v>7.395781021291096</v>
      </c>
      <c r="J286" s="5">
        <f>J241+J277</f>
        <v>3.319978382731471</v>
      </c>
      <c r="K286" s="5">
        <f>K241+K277</f>
        <v>2.4641899326357617</v>
      </c>
      <c r="L286" s="5">
        <f>L241+L277</f>
        <v>3.8543029144995344</v>
      </c>
      <c r="M286" s="5">
        <f>M241+M277</f>
        <v>-1.7047584492167105</v>
      </c>
      <c r="N286" s="5">
        <f>N241+N277</f>
        <v>-4.717629816610318</v>
      </c>
      <c r="O286" s="5">
        <f>O241+O277</f>
        <v>-0.917474762755939</v>
      </c>
      <c r="P286" s="5">
        <f>P241+P277</f>
        <v>0.30279133283805804</v>
      </c>
      <c r="Q286" s="5">
        <f>Q241+Q277</f>
        <v>-0.1469660163194899</v>
      </c>
      <c r="R286" s="5">
        <f>R241+R277</f>
        <v>1.8081379219519</v>
      </c>
      <c r="S286" s="5">
        <f>S241+S277</f>
        <v>2.0253730278965776</v>
      </c>
      <c r="T286" s="5">
        <f>T241+T277</f>
        <v>-1.1857306782858874</v>
      </c>
      <c r="U286" s="5">
        <f>U241+U277</f>
        <v>-4.395790342546501</v>
      </c>
      <c r="V286" s="5">
        <f>V241+V277</f>
        <v>-4.232612157090877</v>
      </c>
      <c r="W286" s="5">
        <f>W241+W277</f>
        <v>-2.550739036536347</v>
      </c>
      <c r="X286" s="5">
        <f>X241+X277</f>
        <v>-3.7254718603644434</v>
      </c>
      <c r="Y286" s="5">
        <f>Y241+Y277</f>
        <v>-3.8495486637229734</v>
      </c>
      <c r="Z286" s="5">
        <f>Z241+Z277</f>
        <v>-1.7895298800595052</v>
      </c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  <c r="DP286" s="108"/>
      <c r="DQ286" s="108"/>
      <c r="DR286" s="108"/>
      <c r="DS286" s="108"/>
      <c r="DT286" s="108"/>
      <c r="DU286" s="108"/>
      <c r="DV286" s="108"/>
      <c r="DW286" s="108"/>
      <c r="DX286" s="108"/>
      <c r="DY286" s="108"/>
      <c r="DZ286" s="108"/>
      <c r="EA286" s="108"/>
      <c r="EB286" s="108"/>
      <c r="EC286" s="108"/>
      <c r="ED286" s="108"/>
      <c r="EE286" s="108"/>
      <c r="EF286" s="108"/>
      <c r="EG286" s="108"/>
      <c r="EH286" s="108"/>
      <c r="EI286" s="108"/>
      <c r="EJ286" s="108"/>
      <c r="EK286" s="108"/>
      <c r="EL286" s="108"/>
      <c r="EM286" s="108"/>
      <c r="EN286" s="108"/>
      <c r="EO286" s="108"/>
      <c r="EP286" s="108"/>
      <c r="EQ286" s="108"/>
      <c r="ER286" s="108"/>
      <c r="ES286" s="108"/>
      <c r="ET286" s="108"/>
      <c r="EU286" s="108"/>
      <c r="EV286" s="108"/>
      <c r="EW286" s="108"/>
      <c r="EX286" s="108"/>
      <c r="EY286" s="108"/>
      <c r="EZ286" s="108"/>
      <c r="FA286" s="108"/>
      <c r="FB286" s="108"/>
      <c r="FC286" s="108"/>
      <c r="FD286" s="108"/>
      <c r="FE286" s="108"/>
      <c r="FF286" s="108"/>
      <c r="FG286" s="108"/>
      <c r="FH286" s="108"/>
      <c r="FI286" s="108"/>
      <c r="FJ286" s="108"/>
      <c r="FK286" s="108"/>
      <c r="FL286" s="108"/>
      <c r="FM286" s="108"/>
      <c r="FN286" s="108"/>
      <c r="FO286" s="108"/>
      <c r="FP286" s="108"/>
      <c r="FQ286" s="108"/>
      <c r="FR286" s="108"/>
      <c r="FS286" s="108"/>
      <c r="FT286" s="108"/>
      <c r="FU286" s="108"/>
      <c r="FV286" s="108"/>
      <c r="FW286" s="108"/>
      <c r="FX286" s="108"/>
      <c r="FY286" s="108"/>
      <c r="FZ286" s="108"/>
      <c r="GA286" s="108"/>
      <c r="GB286" s="108"/>
      <c r="GC286" s="108"/>
      <c r="GD286" s="108"/>
      <c r="GE286" s="108"/>
      <c r="GF286" s="108"/>
      <c r="GG286" s="108"/>
      <c r="GH286" s="108"/>
      <c r="GI286" s="108"/>
      <c r="GJ286" s="108"/>
      <c r="GK286" s="108"/>
      <c r="GL286" s="108"/>
      <c r="GM286" s="108"/>
      <c r="GN286" s="108"/>
      <c r="GO286" s="108"/>
      <c r="GP286" s="108"/>
      <c r="GQ286" s="108"/>
      <c r="GR286" s="108"/>
      <c r="GS286" s="108"/>
      <c r="GT286" s="108"/>
      <c r="GU286" s="108"/>
      <c r="GV286" s="108"/>
      <c r="GW286" s="108"/>
      <c r="GX286" s="108"/>
      <c r="GY286" s="108"/>
      <c r="GZ286" s="108"/>
      <c r="HA286" s="108"/>
      <c r="HB286" s="108"/>
      <c r="HC286" s="108"/>
      <c r="HD286" s="108"/>
      <c r="HE286" s="108"/>
      <c r="HF286" s="108"/>
      <c r="HG286" s="108"/>
      <c r="HH286" s="108"/>
      <c r="HI286" s="108"/>
      <c r="HJ286" s="108"/>
      <c r="HK286" s="108"/>
      <c r="HL286" s="108"/>
      <c r="HM286" s="108"/>
      <c r="HN286" s="108"/>
      <c r="HO286" s="108"/>
      <c r="HP286" s="108"/>
      <c r="HQ286" s="108"/>
      <c r="HR286" s="108"/>
      <c r="HS286" s="108"/>
      <c r="HT286" s="108"/>
      <c r="HU286" s="108"/>
      <c r="HV286" s="108"/>
      <c r="HW286" s="108"/>
      <c r="HX286" s="108"/>
      <c r="HY286" s="108"/>
      <c r="HZ286" s="108"/>
      <c r="IA286" s="108"/>
      <c r="IB286" s="108"/>
      <c r="IC286" s="108"/>
      <c r="ID286" s="108"/>
      <c r="IE286" s="108"/>
      <c r="IF286" s="108"/>
      <c r="IG286" s="108"/>
      <c r="IH286" s="108"/>
      <c r="II286" s="108"/>
      <c r="IJ286" s="108"/>
      <c r="IK286" s="108"/>
      <c r="IL286" s="108"/>
      <c r="IM286" s="108"/>
      <c r="IN286" s="108"/>
      <c r="IO286" s="108"/>
      <c r="IP286" s="108"/>
      <c r="IQ286" s="108"/>
      <c r="IR286" s="108"/>
      <c r="IS286" s="108"/>
      <c r="IT286" s="108"/>
      <c r="IU286" s="108"/>
      <c r="IV286" s="108"/>
    </row>
    <row r="287" spans="1:256" ht="12.75">
      <c r="A287" t="s">
        <v>255</v>
      </c>
      <c r="B287" s="6">
        <f>B242+B278+$B$285</f>
        <v>10.714993849930469</v>
      </c>
      <c r="C287" s="6">
        <f>C242+C278+$B$285</f>
        <v>10.333660466931628</v>
      </c>
      <c r="D287" s="6">
        <f>D242+D278+$B$285</f>
        <v>9.832976798065031</v>
      </c>
      <c r="E287" s="6">
        <f>E242+E278+$B$285</f>
        <v>10.033177236444306</v>
      </c>
      <c r="F287" s="6">
        <f>F242+F278+$B$285</f>
        <v>10.061495210200606</v>
      </c>
      <c r="G287" s="6">
        <f>G242+G278+$B$285</f>
        <v>9.780057303397841</v>
      </c>
      <c r="H287" s="6">
        <f>H242+H278+$B$285</f>
        <v>10.226761561104741</v>
      </c>
      <c r="I287" s="6">
        <f>I242+I278+$B$285</f>
        <v>10.647046997283152</v>
      </c>
      <c r="J287" s="6">
        <f>J242+J278+$B$285</f>
        <v>10.290460471640134</v>
      </c>
      <c r="K287" s="6">
        <f>K242+K278+$B$285</f>
        <v>10.21558868388034</v>
      </c>
      <c r="L287" s="6">
        <f>L242+L278+$B$285</f>
        <v>10.337207810813638</v>
      </c>
      <c r="M287" s="6">
        <f>M242+M278+$B$285</f>
        <v>9.850852961643502</v>
      </c>
      <c r="N287" s="6">
        <f>N242+N278+$B$285</f>
        <v>9.587260872334713</v>
      </c>
      <c r="O287" s="6">
        <f>O242+O278+$B$285</f>
        <v>9.919731359187718</v>
      </c>
      <c r="P287" s="6">
        <f>P242+P278+$B$285</f>
        <v>10.026490809037234</v>
      </c>
      <c r="Q287" s="6">
        <f>Q242+Q278+$B$285</f>
        <v>9.987142139648478</v>
      </c>
      <c r="R287" s="6">
        <f>R242+R278+$B$285</f>
        <v>10.158191570262114</v>
      </c>
      <c r="S287" s="6">
        <f>S242+S278+$B$285</f>
        <v>10.177197179352126</v>
      </c>
      <c r="T287" s="6">
        <f>T242+T278+$B$285</f>
        <v>9.89626200765508</v>
      </c>
      <c r="U287" s="6">
        <f>U242+U278+$B$285</f>
        <v>9.615418177790444</v>
      </c>
      <c r="V287" s="6">
        <f>V242+V278+$B$285</f>
        <v>9.62969441915254</v>
      </c>
      <c r="W287" s="6">
        <f>W242+W278+$B$285</f>
        <v>9.776839250690031</v>
      </c>
      <c r="X287" s="6">
        <f>X242+X278+$B$285</f>
        <v>9.674063445933276</v>
      </c>
      <c r="Y287" s="6">
        <f>Y242+Y278+$B$285</f>
        <v>9.663208132232871</v>
      </c>
      <c r="Z287" s="6">
        <f>Z242+Z278+$B$285</f>
        <v>9.843436422453888</v>
      </c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/>
      <c r="BI287" s="110"/>
      <c r="BJ287" s="110"/>
      <c r="BK287" s="110"/>
      <c r="BL287" s="110"/>
      <c r="BM287" s="110"/>
      <c r="BN287" s="110"/>
      <c r="BO287" s="110"/>
      <c r="BP287" s="110"/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0"/>
      <c r="CI287" s="110"/>
      <c r="CJ287" s="110"/>
      <c r="CK287" s="110"/>
      <c r="CL287" s="110"/>
      <c r="CM287" s="110"/>
      <c r="CN287" s="110"/>
      <c r="CO287" s="110"/>
      <c r="CP287" s="110"/>
      <c r="CQ287" s="110"/>
      <c r="CR287" s="110"/>
      <c r="CS287" s="110"/>
      <c r="CT287" s="110"/>
      <c r="CU287" s="110"/>
      <c r="CV287" s="110"/>
      <c r="CW287" s="110"/>
      <c r="CX287" s="110"/>
      <c r="CY287" s="110"/>
      <c r="CZ287" s="110"/>
      <c r="DA287" s="110"/>
      <c r="DB287" s="110"/>
      <c r="DC287" s="110"/>
      <c r="DD287" s="110"/>
      <c r="DE287" s="110"/>
      <c r="DF287" s="110"/>
      <c r="DG287" s="110"/>
      <c r="DH287" s="110"/>
      <c r="DI287" s="110"/>
      <c r="DJ287" s="110"/>
      <c r="DK287" s="110"/>
      <c r="DL287" s="110"/>
      <c r="DM287" s="110"/>
      <c r="DN287" s="110"/>
      <c r="DO287" s="110"/>
      <c r="DP287" s="110"/>
      <c r="DQ287" s="110"/>
      <c r="DR287" s="110"/>
      <c r="DS287" s="110"/>
      <c r="DT287" s="110"/>
      <c r="DU287" s="110"/>
      <c r="DV287" s="110"/>
      <c r="DW287" s="110"/>
      <c r="DX287" s="110"/>
      <c r="DY287" s="110"/>
      <c r="DZ287" s="110"/>
      <c r="EA287" s="110"/>
      <c r="EB287" s="110"/>
      <c r="EC287" s="110"/>
      <c r="ED287" s="110"/>
      <c r="EE287" s="110"/>
      <c r="EF287" s="110"/>
      <c r="EG287" s="110"/>
      <c r="EH287" s="110"/>
      <c r="EI287" s="110"/>
      <c r="EJ287" s="110"/>
      <c r="EK287" s="110"/>
      <c r="EL287" s="110"/>
      <c r="EM287" s="110"/>
      <c r="EN287" s="110"/>
      <c r="EO287" s="110"/>
      <c r="EP287" s="110"/>
      <c r="EQ287" s="110"/>
      <c r="ER287" s="110"/>
      <c r="ES287" s="110"/>
      <c r="ET287" s="110"/>
      <c r="EU287" s="110"/>
      <c r="EV287" s="110"/>
      <c r="EW287" s="110"/>
      <c r="EX287" s="110"/>
      <c r="EY287" s="110"/>
      <c r="EZ287" s="110"/>
      <c r="FA287" s="110"/>
      <c r="FB287" s="110"/>
      <c r="FC287" s="110"/>
      <c r="FD287" s="110"/>
      <c r="FE287" s="110"/>
      <c r="FF287" s="110"/>
      <c r="FG287" s="110"/>
      <c r="FH287" s="110"/>
      <c r="FI287" s="110"/>
      <c r="FJ287" s="110"/>
      <c r="FK287" s="110"/>
      <c r="FL287" s="110"/>
      <c r="FM287" s="110"/>
      <c r="FN287" s="110"/>
      <c r="FO287" s="110"/>
      <c r="FP287" s="110"/>
      <c r="FQ287" s="110"/>
      <c r="FR287" s="110"/>
      <c r="FS287" s="110"/>
      <c r="FT287" s="110"/>
      <c r="FU287" s="110"/>
      <c r="FV287" s="110"/>
      <c r="FW287" s="110"/>
      <c r="FX287" s="110"/>
      <c r="FY287" s="110"/>
      <c r="FZ287" s="110"/>
      <c r="GA287" s="110"/>
      <c r="GB287" s="110"/>
      <c r="GC287" s="110"/>
      <c r="GD287" s="110"/>
      <c r="GE287" s="110"/>
      <c r="GF287" s="110"/>
      <c r="GG287" s="110"/>
      <c r="GH287" s="110"/>
      <c r="GI287" s="110"/>
      <c r="GJ287" s="110"/>
      <c r="GK287" s="110"/>
      <c r="GL287" s="110"/>
      <c r="GM287" s="110"/>
      <c r="GN287" s="110"/>
      <c r="GO287" s="110"/>
      <c r="GP287" s="110"/>
      <c r="GQ287" s="110"/>
      <c r="GR287" s="110"/>
      <c r="GS287" s="110"/>
      <c r="GT287" s="110"/>
      <c r="GU287" s="110"/>
      <c r="GV287" s="110"/>
      <c r="GW287" s="110"/>
      <c r="GX287" s="110"/>
      <c r="GY287" s="110"/>
      <c r="GZ287" s="110"/>
      <c r="HA287" s="110"/>
      <c r="HB287" s="110"/>
      <c r="HC287" s="110"/>
      <c r="HD287" s="110"/>
      <c r="HE287" s="110"/>
      <c r="HF287" s="110"/>
      <c r="HG287" s="110"/>
      <c r="HH287" s="110"/>
      <c r="HI287" s="110"/>
      <c r="HJ287" s="110"/>
      <c r="HK287" s="110"/>
      <c r="HL287" s="110"/>
      <c r="HM287" s="110"/>
      <c r="HN287" s="110"/>
      <c r="HO287" s="110"/>
      <c r="HP287" s="110"/>
      <c r="HQ287" s="110"/>
      <c r="HR287" s="110"/>
      <c r="HS287" s="110"/>
      <c r="HT287" s="110"/>
      <c r="HU287" s="110"/>
      <c r="HV287" s="110"/>
      <c r="HW287" s="110"/>
      <c r="HX287" s="110"/>
      <c r="HY287" s="110"/>
      <c r="HZ287" s="110"/>
      <c r="IA287" s="110"/>
      <c r="IB287" s="110"/>
      <c r="IC287" s="110"/>
      <c r="ID287" s="110"/>
      <c r="IE287" s="110"/>
      <c r="IF287" s="110"/>
      <c r="IG287" s="110"/>
      <c r="IH287" s="110"/>
      <c r="II287" s="110"/>
      <c r="IJ287" s="110"/>
      <c r="IK287" s="110"/>
      <c r="IL287" s="110"/>
      <c r="IM287" s="110"/>
      <c r="IN287" s="110"/>
      <c r="IO287" s="110"/>
      <c r="IP287" s="110"/>
      <c r="IQ287" s="110"/>
      <c r="IR287" s="110"/>
      <c r="IS287" s="110"/>
      <c r="IT287" s="110"/>
      <c r="IU287" s="110"/>
      <c r="IV287" s="110"/>
    </row>
    <row r="288" spans="1:256" ht="12.75">
      <c r="A288" t="s">
        <v>312</v>
      </c>
      <c r="B288" s="5">
        <f>B242+B278</f>
        <v>0.7149938499304687</v>
      </c>
      <c r="C288" s="5">
        <f>C242+C278</f>
        <v>0.33366046693162693</v>
      </c>
      <c r="D288" s="5">
        <f>D242+D278</f>
        <v>-0.16702320193496878</v>
      </c>
      <c r="E288" s="5">
        <f>E242+E278</f>
        <v>0.033177236444305924</v>
      </c>
      <c r="F288" s="5">
        <f>F242+F278</f>
        <v>0.06149521020060597</v>
      </c>
      <c r="G288" s="5">
        <f>G242+G278</f>
        <v>-0.21994269660215848</v>
      </c>
      <c r="H288" s="5">
        <f>H242+H278</f>
        <v>0.2267615611047415</v>
      </c>
      <c r="I288" s="5">
        <f>I242+I278</f>
        <v>0.6470469972831512</v>
      </c>
      <c r="J288" s="5">
        <f>J242+J278</f>
        <v>0.290460471640135</v>
      </c>
      <c r="K288" s="5">
        <f>K242+K278</f>
        <v>0.21558868388033944</v>
      </c>
      <c r="L288" s="5">
        <f>L242+L278</f>
        <v>0.33720781081363793</v>
      </c>
      <c r="M288" s="5">
        <f>M242+M278</f>
        <v>-0.1491470383564968</v>
      </c>
      <c r="N288" s="5">
        <f>N242+N278</f>
        <v>-0.41273912766528664</v>
      </c>
      <c r="O288" s="5">
        <f>O242+O278</f>
        <v>-0.08026864081228129</v>
      </c>
      <c r="P288" s="5">
        <f>P242+P278</f>
        <v>0.02649080903723492</v>
      </c>
      <c r="Q288" s="5">
        <f>Q242+Q278</f>
        <v>-0.012857860351521297</v>
      </c>
      <c r="R288" s="5">
        <f>R242+R278</f>
        <v>0.15819157026211322</v>
      </c>
      <c r="S288" s="5">
        <f>S242+S278</f>
        <v>0.17719717935212556</v>
      </c>
      <c r="T288" s="5">
        <f>T242+T278</f>
        <v>-0.1037379923449196</v>
      </c>
      <c r="U288" s="5">
        <f>U242+U278</f>
        <v>-0.3845818222095571</v>
      </c>
      <c r="V288" s="5">
        <f>V242+V278</f>
        <v>-0.3703055808474591</v>
      </c>
      <c r="W288" s="5">
        <f>W242+W278</f>
        <v>-0.22316074930996796</v>
      </c>
      <c r="X288" s="5">
        <f>X242+X278</f>
        <v>-0.32593655406672284</v>
      </c>
      <c r="Y288" s="5">
        <f>Y242+Y278</f>
        <v>-0.33679186776712955</v>
      </c>
      <c r="Z288" s="5">
        <f>Z242+Z278</f>
        <v>-0.1565635775461132</v>
      </c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  <c r="CW288" s="108"/>
      <c r="CX288" s="108"/>
      <c r="CY288" s="108"/>
      <c r="CZ288" s="108"/>
      <c r="DA288" s="108"/>
      <c r="DB288" s="108"/>
      <c r="DC288" s="108"/>
      <c r="DD288" s="108"/>
      <c r="DE288" s="108"/>
      <c r="DF288" s="108"/>
      <c r="DG288" s="108"/>
      <c r="DH288" s="108"/>
      <c r="DI288" s="108"/>
      <c r="DJ288" s="108"/>
      <c r="DK288" s="108"/>
      <c r="DL288" s="108"/>
      <c r="DM288" s="108"/>
      <c r="DN288" s="108"/>
      <c r="DO288" s="108"/>
      <c r="DP288" s="108"/>
      <c r="DQ288" s="108"/>
      <c r="DR288" s="108"/>
      <c r="DS288" s="108"/>
      <c r="DT288" s="108"/>
      <c r="DU288" s="108"/>
      <c r="DV288" s="108"/>
      <c r="DW288" s="108"/>
      <c r="DX288" s="108"/>
      <c r="DY288" s="108"/>
      <c r="DZ288" s="108"/>
      <c r="EA288" s="108"/>
      <c r="EB288" s="108"/>
      <c r="EC288" s="108"/>
      <c r="ED288" s="108"/>
      <c r="EE288" s="108"/>
      <c r="EF288" s="108"/>
      <c r="EG288" s="108"/>
      <c r="EH288" s="108"/>
      <c r="EI288" s="108"/>
      <c r="EJ288" s="108"/>
      <c r="EK288" s="108"/>
      <c r="EL288" s="108"/>
      <c r="EM288" s="108"/>
      <c r="EN288" s="108"/>
      <c r="EO288" s="108"/>
      <c r="EP288" s="108"/>
      <c r="EQ288" s="108"/>
      <c r="ER288" s="108"/>
      <c r="ES288" s="108"/>
      <c r="ET288" s="108"/>
      <c r="EU288" s="108"/>
      <c r="EV288" s="108"/>
      <c r="EW288" s="108"/>
      <c r="EX288" s="108"/>
      <c r="EY288" s="108"/>
      <c r="EZ288" s="108"/>
      <c r="FA288" s="108"/>
      <c r="FB288" s="108"/>
      <c r="FC288" s="108"/>
      <c r="FD288" s="108"/>
      <c r="FE288" s="108"/>
      <c r="FF288" s="108"/>
      <c r="FG288" s="108"/>
      <c r="FH288" s="108"/>
      <c r="FI288" s="108"/>
      <c r="FJ288" s="108"/>
      <c r="FK288" s="108"/>
      <c r="FL288" s="108"/>
      <c r="FM288" s="108"/>
      <c r="FN288" s="108"/>
      <c r="FO288" s="108"/>
      <c r="FP288" s="108"/>
      <c r="FQ288" s="108"/>
      <c r="FR288" s="108"/>
      <c r="FS288" s="108"/>
      <c r="FT288" s="108"/>
      <c r="FU288" s="108"/>
      <c r="FV288" s="108"/>
      <c r="FW288" s="108"/>
      <c r="FX288" s="108"/>
      <c r="FY288" s="108"/>
      <c r="FZ288" s="108"/>
      <c r="GA288" s="108"/>
      <c r="GB288" s="108"/>
      <c r="GC288" s="108"/>
      <c r="GD288" s="108"/>
      <c r="GE288" s="108"/>
      <c r="GF288" s="108"/>
      <c r="GG288" s="108"/>
      <c r="GH288" s="108"/>
      <c r="GI288" s="108"/>
      <c r="GJ288" s="108"/>
      <c r="GK288" s="108"/>
      <c r="GL288" s="108"/>
      <c r="GM288" s="108"/>
      <c r="GN288" s="108"/>
      <c r="GO288" s="108"/>
      <c r="GP288" s="108"/>
      <c r="GQ288" s="108"/>
      <c r="GR288" s="108"/>
      <c r="GS288" s="108"/>
      <c r="GT288" s="108"/>
      <c r="GU288" s="108"/>
      <c r="GV288" s="108"/>
      <c r="GW288" s="108"/>
      <c r="GX288" s="108"/>
      <c r="GY288" s="108"/>
      <c r="GZ288" s="108"/>
      <c r="HA288" s="108"/>
      <c r="HB288" s="108"/>
      <c r="HC288" s="108"/>
      <c r="HD288" s="108"/>
      <c r="HE288" s="108"/>
      <c r="HF288" s="108"/>
      <c r="HG288" s="108"/>
      <c r="HH288" s="108"/>
      <c r="HI288" s="108"/>
      <c r="HJ288" s="108"/>
      <c r="HK288" s="108"/>
      <c r="HL288" s="108"/>
      <c r="HM288" s="108"/>
      <c r="HN288" s="108"/>
      <c r="HO288" s="108"/>
      <c r="HP288" s="108"/>
      <c r="HQ288" s="108"/>
      <c r="HR288" s="108"/>
      <c r="HS288" s="108"/>
      <c r="HT288" s="108"/>
      <c r="HU288" s="108"/>
      <c r="HV288" s="108"/>
      <c r="HW288" s="108"/>
      <c r="HX288" s="108"/>
      <c r="HY288" s="108"/>
      <c r="HZ288" s="108"/>
      <c r="IA288" s="108"/>
      <c r="IB288" s="108"/>
      <c r="IC288" s="108"/>
      <c r="ID288" s="108"/>
      <c r="IE288" s="108"/>
      <c r="IF288" s="108"/>
      <c r="IG288" s="108"/>
      <c r="IH288" s="108"/>
      <c r="II288" s="108"/>
      <c r="IJ288" s="108"/>
      <c r="IK288" s="108"/>
      <c r="IL288" s="108"/>
      <c r="IM288" s="108"/>
      <c r="IN288" s="108"/>
      <c r="IO288" s="108"/>
      <c r="IP288" s="108"/>
      <c r="IQ288" s="108"/>
      <c r="IR288" s="108"/>
      <c r="IS288" s="108"/>
      <c r="IT288" s="108"/>
      <c r="IU288" s="108"/>
      <c r="IV288" s="108"/>
    </row>
    <row r="289" spans="1:256" ht="12.75">
      <c r="A289" t="s">
        <v>317</v>
      </c>
      <c r="B289" s="5">
        <f>B286*B94+B287*B95-B267-B244-B245</f>
        <v>5.773159728050814E-15</v>
      </c>
      <c r="C289" s="5">
        <f>C286*C94+C287*C95-C267-C244-C245</f>
        <v>0</v>
      </c>
      <c r="D289" s="5">
        <f>D286*D94+D287*D95-D267-D244-D245</f>
        <v>0</v>
      </c>
      <c r="E289" s="5">
        <f>E286*E94+E287*E95-E267-E244-E245</f>
        <v>0</v>
      </c>
      <c r="F289" s="5">
        <f>F286*F94+F287*F95-F267-F244-F245</f>
        <v>0</v>
      </c>
      <c r="G289" s="5">
        <f>G286*G94+G287*G95-G267-G244-G245</f>
        <v>0</v>
      </c>
      <c r="H289" s="5">
        <f>H286*H94+H287*H95-H267-H244-H245</f>
        <v>0</v>
      </c>
      <c r="I289" s="5">
        <f>I286*I94+I287*I95-I267-I244-I245</f>
        <v>-2.220446049250313E-15</v>
      </c>
      <c r="J289" s="5">
        <f>J286*J94+J287*J95-J267-J244-J245</f>
        <v>0</v>
      </c>
      <c r="K289" s="5">
        <f>K286*K94+K287*K95-K267-K244-K245</f>
        <v>0</v>
      </c>
      <c r="L289" s="5">
        <f>L286*L94+L287*L95-L267-L244-L245</f>
        <v>0</v>
      </c>
      <c r="M289" s="5">
        <f>M286*M94+M287*M95-M267-M244-M245</f>
        <v>0</v>
      </c>
      <c r="N289" s="5">
        <f>N286*N94+N287*N95-N267-N244-N245</f>
        <v>0</v>
      </c>
      <c r="O289" s="5">
        <f>O286*O94+O287*O95-O267-O244-O245</f>
        <v>0</v>
      </c>
      <c r="P289" s="5">
        <f>P286*P94+P287*P95-P267-P244-P245</f>
        <v>0</v>
      </c>
      <c r="Q289" s="5">
        <f>Q286*Q94+Q287*Q95-Q267-Q244-Q245</f>
        <v>0</v>
      </c>
      <c r="R289" s="5">
        <f>R286*R94+R287*R95-R267-R244-R245</f>
        <v>0</v>
      </c>
      <c r="S289" s="5">
        <f>S286*S94+S287*S95-S267-S244-S245</f>
        <v>0</v>
      </c>
      <c r="T289" s="5">
        <f>T286*T94+T287*T95-T267-T244-T245</f>
        <v>0</v>
      </c>
      <c r="U289" s="5">
        <f>U286*U94+U287*U95-U267-U244-U245</f>
        <v>0</v>
      </c>
      <c r="V289" s="5">
        <f>V286*V94+V287*V95-V267-V244-V245</f>
        <v>0</v>
      </c>
      <c r="W289" s="5">
        <f>W286*W94+W287*W95-W267-W244-W245</f>
        <v>0</v>
      </c>
      <c r="X289" s="5">
        <f>X286*X94+X287*X95-X267-X244-X245</f>
        <v>0</v>
      </c>
      <c r="Y289" s="5">
        <f>Y286*Y94+Y287*Y95-Y267-Y244-Y245</f>
        <v>0</v>
      </c>
      <c r="Z289" s="5">
        <f>Z286*Z94+Z287*Z95-Z267-Z244-Z245</f>
        <v>0</v>
      </c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8"/>
      <c r="CX289" s="108"/>
      <c r="CY289" s="108"/>
      <c r="CZ289" s="108"/>
      <c r="DA289" s="108"/>
      <c r="DB289" s="108"/>
      <c r="DC289" s="108"/>
      <c r="DD289" s="108"/>
      <c r="DE289" s="108"/>
      <c r="DF289" s="108"/>
      <c r="DG289" s="108"/>
      <c r="DH289" s="108"/>
      <c r="DI289" s="108"/>
      <c r="DJ289" s="108"/>
      <c r="DK289" s="108"/>
      <c r="DL289" s="108"/>
      <c r="DM289" s="108"/>
      <c r="DN289" s="108"/>
      <c r="DO289" s="108"/>
      <c r="DP289" s="108"/>
      <c r="DQ289" s="108"/>
      <c r="DR289" s="108"/>
      <c r="DS289" s="108"/>
      <c r="DT289" s="108"/>
      <c r="DU289" s="108"/>
      <c r="DV289" s="108"/>
      <c r="DW289" s="108"/>
      <c r="DX289" s="108"/>
      <c r="DY289" s="108"/>
      <c r="DZ289" s="108"/>
      <c r="EA289" s="108"/>
      <c r="EB289" s="108"/>
      <c r="EC289" s="108"/>
      <c r="ED289" s="108"/>
      <c r="EE289" s="108"/>
      <c r="EF289" s="108"/>
      <c r="EG289" s="108"/>
      <c r="EH289" s="108"/>
      <c r="EI289" s="108"/>
      <c r="EJ289" s="108"/>
      <c r="EK289" s="108"/>
      <c r="EL289" s="108"/>
      <c r="EM289" s="108"/>
      <c r="EN289" s="108"/>
      <c r="EO289" s="108"/>
      <c r="EP289" s="108"/>
      <c r="EQ289" s="108"/>
      <c r="ER289" s="108"/>
      <c r="ES289" s="108"/>
      <c r="ET289" s="108"/>
      <c r="EU289" s="108"/>
      <c r="EV289" s="108"/>
      <c r="EW289" s="108"/>
      <c r="EX289" s="108"/>
      <c r="EY289" s="108"/>
      <c r="EZ289" s="108"/>
      <c r="FA289" s="108"/>
      <c r="FB289" s="108"/>
      <c r="FC289" s="108"/>
      <c r="FD289" s="108"/>
      <c r="FE289" s="108"/>
      <c r="FF289" s="108"/>
      <c r="FG289" s="108"/>
      <c r="FH289" s="108"/>
      <c r="FI289" s="108"/>
      <c r="FJ289" s="108"/>
      <c r="FK289" s="108"/>
      <c r="FL289" s="108"/>
      <c r="FM289" s="108"/>
      <c r="FN289" s="108"/>
      <c r="FO289" s="108"/>
      <c r="FP289" s="108"/>
      <c r="FQ289" s="108"/>
      <c r="FR289" s="108"/>
      <c r="FS289" s="108"/>
      <c r="FT289" s="108"/>
      <c r="FU289" s="108"/>
      <c r="FV289" s="108"/>
      <c r="FW289" s="108"/>
      <c r="FX289" s="108"/>
      <c r="FY289" s="108"/>
      <c r="FZ289" s="108"/>
      <c r="GA289" s="108"/>
      <c r="GB289" s="108"/>
      <c r="GC289" s="108"/>
      <c r="GD289" s="108"/>
      <c r="GE289" s="108"/>
      <c r="GF289" s="108"/>
      <c r="GG289" s="108"/>
      <c r="GH289" s="108"/>
      <c r="GI289" s="108"/>
      <c r="GJ289" s="108"/>
      <c r="GK289" s="108"/>
      <c r="GL289" s="108"/>
      <c r="GM289" s="108"/>
      <c r="GN289" s="108"/>
      <c r="GO289" s="108"/>
      <c r="GP289" s="108"/>
      <c r="GQ289" s="108"/>
      <c r="GR289" s="108"/>
      <c r="GS289" s="108"/>
      <c r="GT289" s="108"/>
      <c r="GU289" s="108"/>
      <c r="GV289" s="108"/>
      <c r="GW289" s="108"/>
      <c r="GX289" s="108"/>
      <c r="GY289" s="108"/>
      <c r="GZ289" s="108"/>
      <c r="HA289" s="108"/>
      <c r="HB289" s="108"/>
      <c r="HC289" s="108"/>
      <c r="HD289" s="108"/>
      <c r="HE289" s="108"/>
      <c r="HF289" s="108"/>
      <c r="HG289" s="108"/>
      <c r="HH289" s="108"/>
      <c r="HI289" s="108"/>
      <c r="HJ289" s="108"/>
      <c r="HK289" s="108"/>
      <c r="HL289" s="108"/>
      <c r="HM289" s="108"/>
      <c r="HN289" s="108"/>
      <c r="HO289" s="108"/>
      <c r="HP289" s="108"/>
      <c r="HQ289" s="108"/>
      <c r="HR289" s="108"/>
      <c r="HS289" s="108"/>
      <c r="HT289" s="108"/>
      <c r="HU289" s="108"/>
      <c r="HV289" s="108"/>
      <c r="HW289" s="108"/>
      <c r="HX289" s="108"/>
      <c r="HY289" s="108"/>
      <c r="HZ289" s="108"/>
      <c r="IA289" s="108"/>
      <c r="IB289" s="108"/>
      <c r="IC289" s="108"/>
      <c r="ID289" s="108"/>
      <c r="IE289" s="108"/>
      <c r="IF289" s="108"/>
      <c r="IG289" s="108"/>
      <c r="IH289" s="108"/>
      <c r="II289" s="108"/>
      <c r="IJ289" s="108"/>
      <c r="IK289" s="108"/>
      <c r="IL289" s="108"/>
      <c r="IM289" s="108"/>
      <c r="IN289" s="108"/>
      <c r="IO289" s="108"/>
      <c r="IP289" s="108"/>
      <c r="IQ289" s="108"/>
      <c r="IR289" s="108"/>
      <c r="IS289" s="108"/>
      <c r="IT289" s="108"/>
      <c r="IU289" s="108"/>
      <c r="IV289" s="108"/>
    </row>
    <row r="290" spans="1:26" s="121" customFormat="1" ht="12.75">
      <c r="A290" s="48" t="s">
        <v>314</v>
      </c>
      <c r="B290" s="49">
        <f>O10*S5</f>
        <v>10</v>
      </c>
      <c r="C290" s="81" t="s">
        <v>239</v>
      </c>
      <c r="D290" s="81"/>
      <c r="E290" s="81"/>
      <c r="F290" s="81"/>
      <c r="G290" s="81"/>
      <c r="H290" s="81"/>
      <c r="I290" s="81"/>
      <c r="J290" s="81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56" ht="12.75">
      <c r="A291" t="s">
        <v>256</v>
      </c>
      <c r="B291" s="5">
        <f>B249+B286</f>
        <v>4.318854506685588</v>
      </c>
      <c r="C291" s="5">
        <f>C249+C286</f>
        <v>0.20219406000105433</v>
      </c>
      <c r="D291" s="5">
        <f>D249+D286</f>
        <v>-4.755588444479352</v>
      </c>
      <c r="E291" s="5">
        <f>E249+E286</f>
        <v>-1.720227408975492</v>
      </c>
      <c r="F291" s="5">
        <f>F249+F286</f>
        <v>-0.815846147696248</v>
      </c>
      <c r="G291" s="5">
        <f>G249+G286</f>
        <v>-3.6767296461994334</v>
      </c>
      <c r="H291" s="5">
        <f>H249+H286</f>
        <v>1.5926687696708093</v>
      </c>
      <c r="I291" s="5">
        <f>I249+I286</f>
        <v>6.446985721160751</v>
      </c>
      <c r="J291" s="5">
        <f>J249+J286</f>
        <v>2.3841110645327586</v>
      </c>
      <c r="K291" s="5">
        <f>K249+K286</f>
        <v>1.558142525139899</v>
      </c>
      <c r="L291" s="5">
        <f>L249+L286</f>
        <v>3.0291923078541476</v>
      </c>
      <c r="M291" s="5">
        <f>M249+M286</f>
        <v>-2.378564017643863</v>
      </c>
      <c r="N291" s="5">
        <f>N249+N286</f>
        <v>-5.161014798491461</v>
      </c>
      <c r="O291" s="5">
        <f>O249+O286</f>
        <v>-1.0498969664599698</v>
      </c>
      <c r="P291" s="5">
        <f>P249+P286</f>
        <v>0.5579221664020599</v>
      </c>
      <c r="Q291" s="5">
        <f>Q249+Q286</f>
        <v>0.5629293504357022</v>
      </c>
      <c r="R291" s="5">
        <f>R249+R286</f>
        <v>3.0214407653035247</v>
      </c>
      <c r="S291" s="5">
        <f>S249+S286</f>
        <v>3.7531110552907685</v>
      </c>
      <c r="T291" s="5">
        <f>T249+T286</f>
        <v>0.992450952270632</v>
      </c>
      <c r="U291" s="5">
        <f>U249+U286</f>
        <v>-1.9708872316758366</v>
      </c>
      <c r="V291" s="5">
        <f>V249+V286</f>
        <v>-1.9960015707814973</v>
      </c>
      <c r="W291" s="5">
        <f>W249+W286</f>
        <v>-1.2395832574472665</v>
      </c>
      <c r="X291" s="5">
        <f>X249+X286</f>
        <v>-4.234719031359084</v>
      </c>
      <c r="Y291" s="5">
        <f>Y249+Y286</f>
        <v>-6.5275757560333165</v>
      </c>
      <c r="Z291" s="5">
        <f>Z249+Z286</f>
        <v>-5.643092474231872</v>
      </c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08"/>
      <c r="CY291" s="108"/>
      <c r="CZ291" s="108"/>
      <c r="DA291" s="108"/>
      <c r="DB291" s="108"/>
      <c r="DC291" s="108"/>
      <c r="DD291" s="108"/>
      <c r="DE291" s="108"/>
      <c r="DF291" s="108"/>
      <c r="DG291" s="108"/>
      <c r="DH291" s="108"/>
      <c r="DI291" s="108"/>
      <c r="DJ291" s="108"/>
      <c r="DK291" s="108"/>
      <c r="DL291" s="108"/>
      <c r="DM291" s="108"/>
      <c r="DN291" s="108"/>
      <c r="DO291" s="108"/>
      <c r="DP291" s="108"/>
      <c r="DQ291" s="108"/>
      <c r="DR291" s="108"/>
      <c r="DS291" s="108"/>
      <c r="DT291" s="108"/>
      <c r="DU291" s="108"/>
      <c r="DV291" s="108"/>
      <c r="DW291" s="108"/>
      <c r="DX291" s="108"/>
      <c r="DY291" s="108"/>
      <c r="DZ291" s="108"/>
      <c r="EA291" s="108"/>
      <c r="EB291" s="108"/>
      <c r="EC291" s="108"/>
      <c r="ED291" s="108"/>
      <c r="EE291" s="108"/>
      <c r="EF291" s="108"/>
      <c r="EG291" s="108"/>
      <c r="EH291" s="108"/>
      <c r="EI291" s="108"/>
      <c r="EJ291" s="108"/>
      <c r="EK291" s="108"/>
      <c r="EL291" s="108"/>
      <c r="EM291" s="108"/>
      <c r="EN291" s="108"/>
      <c r="EO291" s="108"/>
      <c r="EP291" s="108"/>
      <c r="EQ291" s="108"/>
      <c r="ER291" s="108"/>
      <c r="ES291" s="108"/>
      <c r="ET291" s="108"/>
      <c r="EU291" s="108"/>
      <c r="EV291" s="108"/>
      <c r="EW291" s="108"/>
      <c r="EX291" s="108"/>
      <c r="EY291" s="108"/>
      <c r="EZ291" s="108"/>
      <c r="FA291" s="108"/>
      <c r="FB291" s="108"/>
      <c r="FC291" s="108"/>
      <c r="FD291" s="108"/>
      <c r="FE291" s="108"/>
      <c r="FF291" s="108"/>
      <c r="FG291" s="108"/>
      <c r="FH291" s="108"/>
      <c r="FI291" s="108"/>
      <c r="FJ291" s="108"/>
      <c r="FK291" s="108"/>
      <c r="FL291" s="108"/>
      <c r="FM291" s="108"/>
      <c r="FN291" s="108"/>
      <c r="FO291" s="108"/>
      <c r="FP291" s="108"/>
      <c r="FQ291" s="108"/>
      <c r="FR291" s="108"/>
      <c r="FS291" s="108"/>
      <c r="FT291" s="108"/>
      <c r="FU291" s="108"/>
      <c r="FV291" s="108"/>
      <c r="FW291" s="108"/>
      <c r="FX291" s="108"/>
      <c r="FY291" s="108"/>
      <c r="FZ291" s="108"/>
      <c r="GA291" s="108"/>
      <c r="GB291" s="108"/>
      <c r="GC291" s="108"/>
      <c r="GD291" s="108"/>
      <c r="GE291" s="108"/>
      <c r="GF291" s="108"/>
      <c r="GG291" s="108"/>
      <c r="GH291" s="108"/>
      <c r="GI291" s="108"/>
      <c r="GJ291" s="108"/>
      <c r="GK291" s="108"/>
      <c r="GL291" s="108"/>
      <c r="GM291" s="108"/>
      <c r="GN291" s="108"/>
      <c r="GO291" s="108"/>
      <c r="GP291" s="108"/>
      <c r="GQ291" s="108"/>
      <c r="GR291" s="108"/>
      <c r="GS291" s="108"/>
      <c r="GT291" s="108"/>
      <c r="GU291" s="108"/>
      <c r="GV291" s="108"/>
      <c r="GW291" s="108"/>
      <c r="GX291" s="108"/>
      <c r="GY291" s="108"/>
      <c r="GZ291" s="108"/>
      <c r="HA291" s="108"/>
      <c r="HB291" s="108"/>
      <c r="HC291" s="108"/>
      <c r="HD291" s="108"/>
      <c r="HE291" s="108"/>
      <c r="HF291" s="108"/>
      <c r="HG291" s="108"/>
      <c r="HH291" s="108"/>
      <c r="HI291" s="108"/>
      <c r="HJ291" s="108"/>
      <c r="HK291" s="108"/>
      <c r="HL291" s="108"/>
      <c r="HM291" s="108"/>
      <c r="HN291" s="108"/>
      <c r="HO291" s="108"/>
      <c r="HP291" s="108"/>
      <c r="HQ291" s="108"/>
      <c r="HR291" s="108"/>
      <c r="HS291" s="108"/>
      <c r="HT291" s="108"/>
      <c r="HU291" s="108"/>
      <c r="HV291" s="108"/>
      <c r="HW291" s="108"/>
      <c r="HX291" s="108"/>
      <c r="HY291" s="108"/>
      <c r="HZ291" s="108"/>
      <c r="IA291" s="108"/>
      <c r="IB291" s="108"/>
      <c r="IC291" s="108"/>
      <c r="ID291" s="108"/>
      <c r="IE291" s="108"/>
      <c r="IF291" s="108"/>
      <c r="IG291" s="108"/>
      <c r="IH291" s="108"/>
      <c r="II291" s="108"/>
      <c r="IJ291" s="108"/>
      <c r="IK291" s="108"/>
      <c r="IL291" s="108"/>
      <c r="IM291" s="108"/>
      <c r="IN291" s="108"/>
      <c r="IO291" s="108"/>
      <c r="IP291" s="108"/>
      <c r="IQ291" s="108"/>
      <c r="IR291" s="108"/>
      <c r="IS291" s="108"/>
      <c r="IT291" s="108"/>
      <c r="IU291" s="108"/>
      <c r="IV291" s="108"/>
    </row>
    <row r="292" spans="1:256" ht="12.75">
      <c r="A292" t="s">
        <v>257</v>
      </c>
      <c r="B292" s="6">
        <f>B250+B287+$B$290</f>
        <v>21.60209731830337</v>
      </c>
      <c r="C292" s="6">
        <f>C250+C287+$B$290</f>
        <v>21.43302551297495</v>
      </c>
      <c r="D292" s="6">
        <f>D250+D287+$B$290</f>
        <v>20.545925124181853</v>
      </c>
      <c r="E292" s="6">
        <f>E250+E287+$B$290</f>
        <v>20.433840722320063</v>
      </c>
      <c r="F292" s="6">
        <f>F250+F287+$B$290</f>
        <v>20.369166798992726</v>
      </c>
      <c r="G292" s="6">
        <f>G250+G287+$B$290</f>
        <v>20.089205995146635</v>
      </c>
      <c r="H292" s="6">
        <f>H250+H287+$B$290</f>
        <v>20.536980479633897</v>
      </c>
      <c r="I292" s="6">
        <f>I250+I287+$B$290</f>
        <v>20.92526861787659</v>
      </c>
      <c r="J292" s="6">
        <f>J250+J287+$B$290</f>
        <v>20.50321077687566</v>
      </c>
      <c r="K292" s="6">
        <f>K250+K287+$B$290</f>
        <v>20.340839978618078</v>
      </c>
      <c r="L292" s="6">
        <f>L250+L287+$B$290</f>
        <v>20.367065489077294</v>
      </c>
      <c r="M292" s="6">
        <f>M250+M287+$B$290</f>
        <v>19.790107966512064</v>
      </c>
      <c r="N292" s="6">
        <f>N250+N287+$B$290</f>
        <v>19.44972874299849</v>
      </c>
      <c r="O292" s="6">
        <f>O250+O287+$B$290</f>
        <v>19.72342531520097</v>
      </c>
      <c r="P292" s="6">
        <f>P250+P287+$B$290</f>
        <v>19.788540475965014</v>
      </c>
      <c r="Q292" s="6">
        <f>Q250+Q287+$B$290</f>
        <v>19.719138329015856</v>
      </c>
      <c r="R292" s="6">
        <f>R250+R287+$B$290</f>
        <v>19.862110933070596</v>
      </c>
      <c r="S292" s="6">
        <f>S250+S287+$B$290</f>
        <v>19.841564765353297</v>
      </c>
      <c r="T292" s="6">
        <f>T250+T287+$B$290</f>
        <v>19.49255666297512</v>
      </c>
      <c r="U292" s="6">
        <f>U250+U287+$B$290</f>
        <v>19.097771272378708</v>
      </c>
      <c r="V292" s="6">
        <f>V250+V287+$B$290</f>
        <v>18.951269339419326</v>
      </c>
      <c r="W292" s="6">
        <f>W250+W287+$B$290</f>
        <v>18.959807975505147</v>
      </c>
      <c r="X292" s="6">
        <f>X250+X287+$B$290</f>
        <v>18.9738131416733</v>
      </c>
      <c r="Y292" s="6">
        <f>Y250+Y287+$B$290</f>
        <v>19.639317525399083</v>
      </c>
      <c r="Z292" s="6">
        <f>Z250+Z287+$B$290</f>
        <v>20.73053989082679</v>
      </c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/>
      <c r="BI292" s="110"/>
      <c r="BJ292" s="110"/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0"/>
      <c r="CF292" s="110"/>
      <c r="CG292" s="110"/>
      <c r="CH292" s="110"/>
      <c r="CI292" s="110"/>
      <c r="CJ292" s="110"/>
      <c r="CK292" s="110"/>
      <c r="CL292" s="110"/>
      <c r="CM292" s="110"/>
      <c r="CN292" s="110"/>
      <c r="CO292" s="110"/>
      <c r="CP292" s="110"/>
      <c r="CQ292" s="110"/>
      <c r="CR292" s="110"/>
      <c r="CS292" s="110"/>
      <c r="CT292" s="110"/>
      <c r="CU292" s="110"/>
      <c r="CV292" s="110"/>
      <c r="CW292" s="110"/>
      <c r="CX292" s="110"/>
      <c r="CY292" s="110"/>
      <c r="CZ292" s="110"/>
      <c r="DA292" s="110"/>
      <c r="DB292" s="110"/>
      <c r="DC292" s="110"/>
      <c r="DD292" s="110"/>
      <c r="DE292" s="110"/>
      <c r="DF292" s="110"/>
      <c r="DG292" s="110"/>
      <c r="DH292" s="110"/>
      <c r="DI292" s="110"/>
      <c r="DJ292" s="110"/>
      <c r="DK292" s="110"/>
      <c r="DL292" s="110"/>
      <c r="DM292" s="110"/>
      <c r="DN292" s="110"/>
      <c r="DO292" s="110"/>
      <c r="DP292" s="110"/>
      <c r="DQ292" s="110"/>
      <c r="DR292" s="110"/>
      <c r="DS292" s="110"/>
      <c r="DT292" s="110"/>
      <c r="DU292" s="110"/>
      <c r="DV292" s="110"/>
      <c r="DW292" s="110"/>
      <c r="DX292" s="110"/>
      <c r="DY292" s="110"/>
      <c r="DZ292" s="110"/>
      <c r="EA292" s="110"/>
      <c r="EB292" s="110"/>
      <c r="EC292" s="110"/>
      <c r="ED292" s="110"/>
      <c r="EE292" s="110"/>
      <c r="EF292" s="110"/>
      <c r="EG292" s="110"/>
      <c r="EH292" s="110"/>
      <c r="EI292" s="110"/>
      <c r="EJ292" s="110"/>
      <c r="EK292" s="110"/>
      <c r="EL292" s="110"/>
      <c r="EM292" s="110"/>
      <c r="EN292" s="110"/>
      <c r="EO292" s="110"/>
      <c r="EP292" s="110"/>
      <c r="EQ292" s="110"/>
      <c r="ER292" s="110"/>
      <c r="ES292" s="110"/>
      <c r="ET292" s="110"/>
      <c r="EU292" s="110"/>
      <c r="EV292" s="110"/>
      <c r="EW292" s="110"/>
      <c r="EX292" s="110"/>
      <c r="EY292" s="110"/>
      <c r="EZ292" s="110"/>
      <c r="FA292" s="110"/>
      <c r="FB292" s="110"/>
      <c r="FC292" s="110"/>
      <c r="FD292" s="110"/>
      <c r="FE292" s="110"/>
      <c r="FF292" s="110"/>
      <c r="FG292" s="110"/>
      <c r="FH292" s="110"/>
      <c r="FI292" s="110"/>
      <c r="FJ292" s="110"/>
      <c r="FK292" s="110"/>
      <c r="FL292" s="110"/>
      <c r="FM292" s="110"/>
      <c r="FN292" s="110"/>
      <c r="FO292" s="110"/>
      <c r="FP292" s="110"/>
      <c r="FQ292" s="110"/>
      <c r="FR292" s="110"/>
      <c r="FS292" s="110"/>
      <c r="FT292" s="110"/>
      <c r="FU292" s="110"/>
      <c r="FV292" s="110"/>
      <c r="FW292" s="110"/>
      <c r="FX292" s="110"/>
      <c r="FY292" s="110"/>
      <c r="FZ292" s="110"/>
      <c r="GA292" s="110"/>
      <c r="GB292" s="110"/>
      <c r="GC292" s="110"/>
      <c r="GD292" s="110"/>
      <c r="GE292" s="110"/>
      <c r="GF292" s="110"/>
      <c r="GG292" s="110"/>
      <c r="GH292" s="110"/>
      <c r="GI292" s="110"/>
      <c r="GJ292" s="110"/>
      <c r="GK292" s="110"/>
      <c r="GL292" s="110"/>
      <c r="GM292" s="110"/>
      <c r="GN292" s="110"/>
      <c r="GO292" s="110"/>
      <c r="GP292" s="110"/>
      <c r="GQ292" s="110"/>
      <c r="GR292" s="110"/>
      <c r="GS292" s="110"/>
      <c r="GT292" s="110"/>
      <c r="GU292" s="110"/>
      <c r="GV292" s="110"/>
      <c r="GW292" s="110"/>
      <c r="GX292" s="110"/>
      <c r="GY292" s="110"/>
      <c r="GZ292" s="110"/>
      <c r="HA292" s="110"/>
      <c r="HB292" s="110"/>
      <c r="HC292" s="110"/>
      <c r="HD292" s="110"/>
      <c r="HE292" s="110"/>
      <c r="HF292" s="110"/>
      <c r="HG292" s="110"/>
      <c r="HH292" s="110"/>
      <c r="HI292" s="110"/>
      <c r="HJ292" s="110"/>
      <c r="HK292" s="110"/>
      <c r="HL292" s="110"/>
      <c r="HM292" s="110"/>
      <c r="HN292" s="110"/>
      <c r="HO292" s="110"/>
      <c r="HP292" s="110"/>
      <c r="HQ292" s="110"/>
      <c r="HR292" s="110"/>
      <c r="HS292" s="110"/>
      <c r="HT292" s="110"/>
      <c r="HU292" s="110"/>
      <c r="HV292" s="110"/>
      <c r="HW292" s="110"/>
      <c r="HX292" s="110"/>
      <c r="HY292" s="110"/>
      <c r="HZ292" s="110"/>
      <c r="IA292" s="110"/>
      <c r="IB292" s="110"/>
      <c r="IC292" s="110"/>
      <c r="ID292" s="110"/>
      <c r="IE292" s="110"/>
      <c r="IF292" s="110"/>
      <c r="IG292" s="110"/>
      <c r="IH292" s="110"/>
      <c r="II292" s="110"/>
      <c r="IJ292" s="110"/>
      <c r="IK292" s="110"/>
      <c r="IL292" s="110"/>
      <c r="IM292" s="110"/>
      <c r="IN292" s="110"/>
      <c r="IO292" s="110"/>
      <c r="IP292" s="110"/>
      <c r="IQ292" s="110"/>
      <c r="IR292" s="110"/>
      <c r="IS292" s="110"/>
      <c r="IT292" s="110"/>
      <c r="IU292" s="110"/>
      <c r="IV292" s="110"/>
    </row>
    <row r="293" spans="1:256" ht="12.75">
      <c r="A293" t="s">
        <v>258</v>
      </c>
      <c r="B293" s="6">
        <f>B251-B249*(B182-B91)+(B250+$B$290)*(B181-B90)</f>
        <v>10.320724427267299</v>
      </c>
      <c r="C293" s="6">
        <f>C251-C249*(C182-C91)+(C250+$B$290)*(C181-C90)</f>
        <v>7.896190443387447</v>
      </c>
      <c r="D293" s="6">
        <f>D251-D249*(D182-D91)+(D250+$B$290)*(D181-D90)</f>
        <v>6.520295129692294</v>
      </c>
      <c r="E293" s="6">
        <f>E251-E249*(E182-E91)+(E250+$B$290)*(E181-E90)</f>
        <v>6.48780629057932</v>
      </c>
      <c r="F293" s="6">
        <f>F251-F249*(F182-F91)+(F250+$B$290)*(F181-F90)</f>
        <v>7.449875279610445</v>
      </c>
      <c r="G293" s="6">
        <f>G251-G249*(G182-G91)+(G250+$B$290)*(G181-G90)</f>
        <v>8.850735699598115</v>
      </c>
      <c r="H293" s="6">
        <f>H251-H249*(H182-H91)+(H250+$B$290)*(H181-H90)</f>
        <v>10.372935616667931</v>
      </c>
      <c r="I293" s="6">
        <f>I251-I249*(I182-I91)+(I250+$B$290)*(I181-I90)</f>
        <v>11.896685647653909</v>
      </c>
      <c r="J293" s="6">
        <f>J251-J249*(J182-J91)+(J250+$B$290)*(J181-J90)</f>
        <v>13.373437107263188</v>
      </c>
      <c r="K293" s="6">
        <f>K251-K249*(K182-K91)+(K250+$B$290)*(K181-K90)</f>
        <v>14.769401846029329</v>
      </c>
      <c r="L293" s="6">
        <f>L251-L249*(L182-L91)+(L250+$B$290)*(L181-L90)</f>
        <v>16.05478545012793</v>
      </c>
      <c r="M293" s="6">
        <f>M251-M249*(M182-M91)+(M250+$B$290)*(M181-M90)</f>
        <v>17.205729874190624</v>
      </c>
      <c r="N293" s="6">
        <f>N251-N249*(N182-N91)+(N250+$B$290)*(N181-N90)</f>
        <v>18.206315255411297</v>
      </c>
      <c r="O293" s="6">
        <f>O251-O249*(O182-O91)+(O250+$B$290)*(O181-O90)</f>
        <v>19.048625857887167</v>
      </c>
      <c r="P293" s="6">
        <f>P251-P249*(P182-P91)+(P250+$B$290)*(P181-P90)</f>
        <v>19.73158757849221</v>
      </c>
      <c r="Q293" s="6">
        <f>Q251-Q249*(Q182-Q91)+(Q250+$B$290)*(Q181-Q90)</f>
        <v>20.258925117661995</v>
      </c>
      <c r="R293" s="6">
        <f>R251-R249*(R182-R91)+(R250+$B$290)*(R181-R90)</f>
        <v>20.635620899466602</v>
      </c>
      <c r="S293" s="6">
        <f>S251-S249*(S182-S91)+(S250+$B$290)*(S181-S90)</f>
        <v>20.861120720393593</v>
      </c>
      <c r="T293" s="6">
        <f>T251-T249*(T182-T91)+(T250+$B$290)*(T181-T90)</f>
        <v>20.915451391146053</v>
      </c>
      <c r="U293" s="6">
        <f>U251-U249*(U182-U91)+(U250+$B$290)*(U181-U90)</f>
        <v>20.731168065885527</v>
      </c>
      <c r="V293" s="6">
        <f>V251-V249*(V182-V91)+(V250+$B$290)*(V181-V90)</f>
        <v>20.1454932772637</v>
      </c>
      <c r="W293" s="6">
        <f>W251-W249*(W182-W91)+(W250+$B$290)*(W181-W90)</f>
        <v>18.861188849139747</v>
      </c>
      <c r="X293" s="6">
        <f>X251-X249*(X182-X91)+(X250+$B$290)*(X181-X90)</f>
        <v>16.567417572987306</v>
      </c>
      <c r="Y293" s="6">
        <f>Y251-Y249*(Y182-Y91)+(Y250+$B$290)*(Y181-Y90)</f>
        <v>13.428624591345683</v>
      </c>
      <c r="Z293" s="6">
        <f>Z251-Z249*(Z182-Z91)+(Z250+$B$290)*(Z181-Z90)</f>
        <v>10.320724427267296</v>
      </c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  <c r="BH293" s="110"/>
      <c r="BI293" s="110"/>
      <c r="BJ293" s="110"/>
      <c r="BK293" s="110"/>
      <c r="BL293" s="110"/>
      <c r="BM293" s="110"/>
      <c r="BN293" s="110"/>
      <c r="BO293" s="110"/>
      <c r="BP293" s="110"/>
      <c r="BQ293" s="110"/>
      <c r="BR293" s="110"/>
      <c r="BS293" s="110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0"/>
      <c r="CF293" s="110"/>
      <c r="CG293" s="110"/>
      <c r="CH293" s="110"/>
      <c r="CI293" s="110"/>
      <c r="CJ293" s="110"/>
      <c r="CK293" s="110"/>
      <c r="CL293" s="110"/>
      <c r="CM293" s="110"/>
      <c r="CN293" s="110"/>
      <c r="CO293" s="110"/>
      <c r="CP293" s="110"/>
      <c r="CQ293" s="110"/>
      <c r="CR293" s="110"/>
      <c r="CS293" s="110"/>
      <c r="CT293" s="110"/>
      <c r="CU293" s="110"/>
      <c r="CV293" s="110"/>
      <c r="CW293" s="110"/>
      <c r="CX293" s="110"/>
      <c r="CY293" s="110"/>
      <c r="CZ293" s="110"/>
      <c r="DA293" s="110"/>
      <c r="DB293" s="110"/>
      <c r="DC293" s="110"/>
      <c r="DD293" s="110"/>
      <c r="DE293" s="110"/>
      <c r="DF293" s="110"/>
      <c r="DG293" s="110"/>
      <c r="DH293" s="110"/>
      <c r="DI293" s="110"/>
      <c r="DJ293" s="110"/>
      <c r="DK293" s="110"/>
      <c r="DL293" s="110"/>
      <c r="DM293" s="110"/>
      <c r="DN293" s="110"/>
      <c r="DO293" s="110"/>
      <c r="DP293" s="110"/>
      <c r="DQ293" s="110"/>
      <c r="DR293" s="110"/>
      <c r="DS293" s="110"/>
      <c r="DT293" s="110"/>
      <c r="DU293" s="110"/>
      <c r="DV293" s="110"/>
      <c r="DW293" s="110"/>
      <c r="DX293" s="110"/>
      <c r="DY293" s="110"/>
      <c r="DZ293" s="110"/>
      <c r="EA293" s="110"/>
      <c r="EB293" s="110"/>
      <c r="EC293" s="110"/>
      <c r="ED293" s="110"/>
      <c r="EE293" s="110"/>
      <c r="EF293" s="110"/>
      <c r="EG293" s="110"/>
      <c r="EH293" s="110"/>
      <c r="EI293" s="110"/>
      <c r="EJ293" s="110"/>
      <c r="EK293" s="110"/>
      <c r="EL293" s="110"/>
      <c r="EM293" s="110"/>
      <c r="EN293" s="110"/>
      <c r="EO293" s="110"/>
      <c r="EP293" s="110"/>
      <c r="EQ293" s="110"/>
      <c r="ER293" s="110"/>
      <c r="ES293" s="110"/>
      <c r="ET293" s="110"/>
      <c r="EU293" s="110"/>
      <c r="EV293" s="110"/>
      <c r="EW293" s="110"/>
      <c r="EX293" s="110"/>
      <c r="EY293" s="110"/>
      <c r="EZ293" s="110"/>
      <c r="FA293" s="110"/>
      <c r="FB293" s="110"/>
      <c r="FC293" s="110"/>
      <c r="FD293" s="110"/>
      <c r="FE293" s="110"/>
      <c r="FF293" s="110"/>
      <c r="FG293" s="110"/>
      <c r="FH293" s="110"/>
      <c r="FI293" s="110"/>
      <c r="FJ293" s="110"/>
      <c r="FK293" s="110"/>
      <c r="FL293" s="110"/>
      <c r="FM293" s="110"/>
      <c r="FN293" s="110"/>
      <c r="FO293" s="110"/>
      <c r="FP293" s="110"/>
      <c r="FQ293" s="110"/>
      <c r="FR293" s="110"/>
      <c r="FS293" s="110"/>
      <c r="FT293" s="110"/>
      <c r="FU293" s="110"/>
      <c r="FV293" s="110"/>
      <c r="FW293" s="110"/>
      <c r="FX293" s="110"/>
      <c r="FY293" s="110"/>
      <c r="FZ293" s="110"/>
      <c r="GA293" s="110"/>
      <c r="GB293" s="110"/>
      <c r="GC293" s="110"/>
      <c r="GD293" s="110"/>
      <c r="GE293" s="110"/>
      <c r="GF293" s="110"/>
      <c r="GG293" s="110"/>
      <c r="GH293" s="110"/>
      <c r="GI293" s="110"/>
      <c r="GJ293" s="110"/>
      <c r="GK293" s="110"/>
      <c r="GL293" s="110"/>
      <c r="GM293" s="110"/>
      <c r="GN293" s="110"/>
      <c r="GO293" s="110"/>
      <c r="GP293" s="110"/>
      <c r="GQ293" s="110"/>
      <c r="GR293" s="110"/>
      <c r="GS293" s="110"/>
      <c r="GT293" s="110"/>
      <c r="GU293" s="110"/>
      <c r="GV293" s="110"/>
      <c r="GW293" s="110"/>
      <c r="GX293" s="110"/>
      <c r="GY293" s="110"/>
      <c r="GZ293" s="110"/>
      <c r="HA293" s="110"/>
      <c r="HB293" s="110"/>
      <c r="HC293" s="110"/>
      <c r="HD293" s="110"/>
      <c r="HE293" s="110"/>
      <c r="HF293" s="110"/>
      <c r="HG293" s="110"/>
      <c r="HH293" s="110"/>
      <c r="HI293" s="110"/>
      <c r="HJ293" s="110"/>
      <c r="HK293" s="110"/>
      <c r="HL293" s="110"/>
      <c r="HM293" s="110"/>
      <c r="HN293" s="110"/>
      <c r="HO293" s="110"/>
      <c r="HP293" s="110"/>
      <c r="HQ293" s="110"/>
      <c r="HR293" s="110"/>
      <c r="HS293" s="110"/>
      <c r="HT293" s="110"/>
      <c r="HU293" s="110"/>
      <c r="HV293" s="110"/>
      <c r="HW293" s="110"/>
      <c r="HX293" s="110"/>
      <c r="HY293" s="110"/>
      <c r="HZ293" s="110"/>
      <c r="IA293" s="110"/>
      <c r="IB293" s="110"/>
      <c r="IC293" s="110"/>
      <c r="ID293" s="110"/>
      <c r="IE293" s="110"/>
      <c r="IF293" s="110"/>
      <c r="IG293" s="110"/>
      <c r="IH293" s="110"/>
      <c r="II293" s="110"/>
      <c r="IJ293" s="110"/>
      <c r="IK293" s="110"/>
      <c r="IL293" s="110"/>
      <c r="IM293" s="110"/>
      <c r="IN293" s="110"/>
      <c r="IO293" s="110"/>
      <c r="IP293" s="110"/>
      <c r="IQ293" s="110"/>
      <c r="IR293" s="110"/>
      <c r="IS293" s="110"/>
      <c r="IT293" s="110"/>
      <c r="IU293" s="110"/>
      <c r="IV293" s="110"/>
    </row>
    <row r="294" spans="1:256" s="125" customFormat="1" ht="12.75">
      <c r="A294" s="2" t="s">
        <v>317</v>
      </c>
      <c r="B294" s="6">
        <f>B291*B94+B292*B95+B293*B39-B267-B244-B245-B252-B253</f>
        <v>0</v>
      </c>
      <c r="C294" s="6">
        <f>C291*C94+C292*C95+C293*C39-C267-C244-C245-C252-C253</f>
        <v>0</v>
      </c>
      <c r="D294" s="6">
        <f>D291*D94+D292*D95+D293*D39-D267-D244-D245-D252-D253</f>
        <v>0</v>
      </c>
      <c r="E294" s="6">
        <f>E291*E94+E292*E95+E293*E39-E267-E244-E245-E252-E253</f>
        <v>0</v>
      </c>
      <c r="F294" s="6">
        <f>F291*F94+F292*F95+F293*F39-F267-F244-F245-F252-F253</f>
        <v>0</v>
      </c>
      <c r="G294" s="6">
        <f>G291*G94+G292*G95+G293*G39-G267-G244-G245-G252-G253</f>
        <v>0</v>
      </c>
      <c r="H294" s="6">
        <f>H291*H94+H292*H95+H293*H39-H267-H244-H245-H252-H253</f>
        <v>0</v>
      </c>
      <c r="I294" s="6">
        <f>I291*I94+I292*I95+I293*I39-I267-I244-I245-I252-I253</f>
        <v>0</v>
      </c>
      <c r="J294" s="6">
        <f>J291*J94+J292*J95+J293*J39-J267-J244-J245-J252-J253</f>
        <v>0</v>
      </c>
      <c r="K294" s="6">
        <f>K291*K94+K292*K95+K293*K39-K267-K244-K245-K252-K253</f>
        <v>0</v>
      </c>
      <c r="L294" s="6">
        <f>L291*L94+L292*L95+L293*L39-L267-L244-L245-L252-L253</f>
        <v>0</v>
      </c>
      <c r="M294" s="6">
        <f>M291*M94+M292*M95+M293*M39-M267-M244-M245-M252-M253</f>
        <v>0</v>
      </c>
      <c r="N294" s="6">
        <f>N291*N94+N292*N95+N293*N39-N267-N244-N245-N252-N253</f>
        <v>0</v>
      </c>
      <c r="O294" s="6">
        <f>O291*O94+O292*O95+O293*O39-O267-O244-O245-O252-O253</f>
        <v>0</v>
      </c>
      <c r="P294" s="6">
        <f>P291*P94+P292*P95+P293*P39-P267-P244-P245-P252-P253</f>
        <v>0</v>
      </c>
      <c r="Q294" s="6">
        <f>Q291*Q94+Q292*Q95+Q293*Q39-Q267-Q244-Q245-Q252-Q253</f>
        <v>0</v>
      </c>
      <c r="R294" s="6">
        <f>R291*R94+R292*R95+R293*R39-R267-R244-R245-R252-R253</f>
        <v>0</v>
      </c>
      <c r="S294" s="6">
        <f>S291*S94+S292*S95+S293*S39-S267-S244-S245-S252-S253</f>
        <v>0</v>
      </c>
      <c r="T294" s="6">
        <f>T291*T94+T292*T95+T293*T39-T267-T244-T245-T252-T253</f>
        <v>0</v>
      </c>
      <c r="U294" s="6">
        <f>U291*U94+U292*U95+U293*U39-U267-U244-U245-U252-U253</f>
        <v>0</v>
      </c>
      <c r="V294" s="6">
        <f>V291*V94+V292*V95+V293*V39-V267-V244-V245-V252-V253</f>
        <v>0</v>
      </c>
      <c r="W294" s="6">
        <f>W291*W94+W292*W95+W293*W39-W267-W244-W245-W252-W253</f>
        <v>0</v>
      </c>
      <c r="X294" s="6">
        <f>X291*X94+X292*X95+X293*X39-X267-X244-X245-X252-X253</f>
        <v>0</v>
      </c>
      <c r="Y294" s="6">
        <f>Y291*Y94+Y292*Y95+Y293*Y39-Y267-Y244-Y245-Y252-Y253</f>
        <v>0</v>
      </c>
      <c r="Z294" s="6">
        <f>Z291*Z94+Z292*Z95+Z293*Z39-Z267-Z244-Z245-Z252-Z253</f>
        <v>0</v>
      </c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0"/>
      <c r="CI294" s="110"/>
      <c r="CJ294" s="110"/>
      <c r="CK294" s="110"/>
      <c r="CL294" s="110"/>
      <c r="CM294" s="110"/>
      <c r="CN294" s="110"/>
      <c r="CO294" s="110"/>
      <c r="CP294" s="110"/>
      <c r="CQ294" s="110"/>
      <c r="CR294" s="110"/>
      <c r="CS294" s="110"/>
      <c r="CT294" s="110"/>
      <c r="CU294" s="110"/>
      <c r="CV294" s="110"/>
      <c r="CW294" s="110"/>
      <c r="CX294" s="110"/>
      <c r="CY294" s="110"/>
      <c r="CZ294" s="110"/>
      <c r="DA294" s="110"/>
      <c r="DB294" s="110"/>
      <c r="DC294" s="110"/>
      <c r="DD294" s="110"/>
      <c r="DE294" s="110"/>
      <c r="DF294" s="110"/>
      <c r="DG294" s="110"/>
      <c r="DH294" s="110"/>
      <c r="DI294" s="110"/>
      <c r="DJ294" s="110"/>
      <c r="DK294" s="110"/>
      <c r="DL294" s="110"/>
      <c r="DM294" s="110"/>
      <c r="DN294" s="110"/>
      <c r="DO294" s="110"/>
      <c r="DP294" s="110"/>
      <c r="DQ294" s="110"/>
      <c r="DR294" s="110"/>
      <c r="DS294" s="110"/>
      <c r="DT294" s="110"/>
      <c r="DU294" s="110"/>
      <c r="DV294" s="110"/>
      <c r="DW294" s="110"/>
      <c r="DX294" s="110"/>
      <c r="DY294" s="110"/>
      <c r="DZ294" s="110"/>
      <c r="EA294" s="110"/>
      <c r="EB294" s="110"/>
      <c r="EC294" s="110"/>
      <c r="ED294" s="110"/>
      <c r="EE294" s="110"/>
      <c r="EF294" s="110"/>
      <c r="EG294" s="110"/>
      <c r="EH294" s="110"/>
      <c r="EI294" s="110"/>
      <c r="EJ294" s="110"/>
      <c r="EK294" s="110"/>
      <c r="EL294" s="110"/>
      <c r="EM294" s="110"/>
      <c r="EN294" s="110"/>
      <c r="EO294" s="110"/>
      <c r="EP294" s="110"/>
      <c r="EQ294" s="110"/>
      <c r="ER294" s="110"/>
      <c r="ES294" s="110"/>
      <c r="ET294" s="110"/>
      <c r="EU294" s="110"/>
      <c r="EV294" s="110"/>
      <c r="EW294" s="110"/>
      <c r="EX294" s="110"/>
      <c r="EY294" s="110"/>
      <c r="EZ294" s="110"/>
      <c r="FA294" s="110"/>
      <c r="FB294" s="110"/>
      <c r="FC294" s="110"/>
      <c r="FD294" s="110"/>
      <c r="FE294" s="110"/>
      <c r="FF294" s="110"/>
      <c r="FG294" s="110"/>
      <c r="FH294" s="110"/>
      <c r="FI294" s="110"/>
      <c r="FJ294" s="110"/>
      <c r="FK294" s="110"/>
      <c r="FL294" s="110"/>
      <c r="FM294" s="110"/>
      <c r="FN294" s="110"/>
      <c r="FO294" s="110"/>
      <c r="FP294" s="110"/>
      <c r="FQ294" s="110"/>
      <c r="FR294" s="110"/>
      <c r="FS294" s="110"/>
      <c r="FT294" s="110"/>
      <c r="FU294" s="110"/>
      <c r="FV294" s="110"/>
      <c r="FW294" s="110"/>
      <c r="FX294" s="110"/>
      <c r="FY294" s="110"/>
      <c r="FZ294" s="110"/>
      <c r="GA294" s="110"/>
      <c r="GB294" s="110"/>
      <c r="GC294" s="110"/>
      <c r="GD294" s="110"/>
      <c r="GE294" s="110"/>
      <c r="GF294" s="110"/>
      <c r="GG294" s="110"/>
      <c r="GH294" s="110"/>
      <c r="GI294" s="110"/>
      <c r="GJ294" s="110"/>
      <c r="GK294" s="110"/>
      <c r="GL294" s="110"/>
      <c r="GM294" s="110"/>
      <c r="GN294" s="110"/>
      <c r="GO294" s="110"/>
      <c r="GP294" s="110"/>
      <c r="GQ294" s="110"/>
      <c r="GR294" s="110"/>
      <c r="GS294" s="110"/>
      <c r="GT294" s="110"/>
      <c r="GU294" s="110"/>
      <c r="GV294" s="110"/>
      <c r="GW294" s="110"/>
      <c r="GX294" s="110"/>
      <c r="GY294" s="110"/>
      <c r="GZ294" s="110"/>
      <c r="HA294" s="110"/>
      <c r="HB294" s="110"/>
      <c r="HC294" s="110"/>
      <c r="HD294" s="110"/>
      <c r="HE294" s="110"/>
      <c r="HF294" s="110"/>
      <c r="HG294" s="110"/>
      <c r="HH294" s="110"/>
      <c r="HI294" s="110"/>
      <c r="HJ294" s="110"/>
      <c r="HK294" s="110"/>
      <c r="HL294" s="110"/>
      <c r="HM294" s="110"/>
      <c r="HN294" s="110"/>
      <c r="HO294" s="110"/>
      <c r="HP294" s="110"/>
      <c r="HQ294" s="110"/>
      <c r="HR294" s="110"/>
      <c r="HS294" s="110"/>
      <c r="HT294" s="110"/>
      <c r="HU294" s="110"/>
      <c r="HV294" s="110"/>
      <c r="HW294" s="110"/>
      <c r="HX294" s="110"/>
      <c r="HY294" s="110"/>
      <c r="HZ294" s="110"/>
      <c r="IA294" s="110"/>
      <c r="IB294" s="110"/>
      <c r="IC294" s="110"/>
      <c r="ID294" s="110"/>
      <c r="IE294" s="110"/>
      <c r="IF294" s="110"/>
      <c r="IG294" s="110"/>
      <c r="IH294" s="110"/>
      <c r="II294" s="110"/>
      <c r="IJ294" s="110"/>
      <c r="IK294" s="110"/>
      <c r="IL294" s="110"/>
      <c r="IM294" s="110"/>
      <c r="IN294" s="110"/>
      <c r="IO294" s="110"/>
      <c r="IP294" s="110"/>
      <c r="IQ294" s="110"/>
      <c r="IR294" s="110"/>
      <c r="IS294" s="110"/>
      <c r="IT294" s="110"/>
      <c r="IU294" s="110"/>
      <c r="IV294" s="110"/>
    </row>
    <row r="295" spans="1:26" s="121" customFormat="1" ht="12.75">
      <c r="A295" s="50" t="s">
        <v>319</v>
      </c>
      <c r="B295" s="50">
        <f>O9*S5</f>
        <v>10</v>
      </c>
      <c r="C295" s="82" t="s">
        <v>259</v>
      </c>
      <c r="D295" s="82"/>
      <c r="E295" s="82"/>
      <c r="F295" s="82"/>
      <c r="G295" s="82"/>
      <c r="H295" s="82"/>
      <c r="I295" s="82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56" ht="12.75">
      <c r="A296" t="s">
        <v>260</v>
      </c>
      <c r="B296" s="5">
        <f>B225+B281</f>
        <v>-0.8891225804021954</v>
      </c>
      <c r="C296" s="5">
        <f>C225+C281</f>
        <v>-2.964509914793833</v>
      </c>
      <c r="D296" s="5">
        <f>D225+D281</f>
        <v>-3.0465479826780335</v>
      </c>
      <c r="E296" s="5">
        <f>E225+E281</f>
        <v>-1.7275956957590175</v>
      </c>
      <c r="F296" s="5">
        <f>F225+F281</f>
        <v>-0.28184138051651253</v>
      </c>
      <c r="G296" s="5">
        <f>G225+G281</f>
        <v>0.4772379774022639</v>
      </c>
      <c r="H296" s="5">
        <f>H225+H281</f>
        <v>0.44651983929799566</v>
      </c>
      <c r="I296" s="5">
        <f>I225+I281</f>
        <v>0.16583092538744</v>
      </c>
      <c r="J296" s="5">
        <f>J225+J281</f>
        <v>0.17036159027971515</v>
      </c>
      <c r="K296" s="5">
        <f>K225+K281</f>
        <v>0.4170655972275347</v>
      </c>
      <c r="L296" s="5">
        <f>L225+L281</f>
        <v>0.5214027070588199</v>
      </c>
      <c r="M296" s="5">
        <f>M225+M281</f>
        <v>0.41727779765450723</v>
      </c>
      <c r="N296" s="5">
        <f>N225+N281</f>
        <v>0.45745360792433953</v>
      </c>
      <c r="O296" s="5">
        <f>O225+O281</f>
        <v>0.8226035471570263</v>
      </c>
      <c r="P296" s="5">
        <f>P225+P281</f>
        <v>1.148649452524369</v>
      </c>
      <c r="Q296" s="5">
        <f>Q225+Q281</f>
        <v>0.9675100544651898</v>
      </c>
      <c r="R296" s="5">
        <f>R225+R281</f>
        <v>0.34963413591587944</v>
      </c>
      <c r="S296" s="5">
        <f>S225+S281</f>
        <v>-0.17329956241996658</v>
      </c>
      <c r="T296" s="5">
        <f>T225+T281</f>
        <v>-0.27836256044313756</v>
      </c>
      <c r="U296" s="5">
        <f>U225+U281</f>
        <v>-0.13216754535466535</v>
      </c>
      <c r="V296" s="5">
        <f>V225+V281</f>
        <v>0.08523655150987808</v>
      </c>
      <c r="W296" s="5">
        <f>W225+W281</f>
        <v>0.5717096584023202</v>
      </c>
      <c r="X296" s="5">
        <f>X225+X281</f>
        <v>1.3143237408134525</v>
      </c>
      <c r="Y296" s="5">
        <f>Y225+Y281</f>
        <v>1.1606299001298075</v>
      </c>
      <c r="Z296" s="5">
        <f>Z225+Z281</f>
        <v>-0.889122580402196</v>
      </c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08"/>
      <c r="CY296" s="108"/>
      <c r="CZ296" s="108"/>
      <c r="DA296" s="108"/>
      <c r="DB296" s="108"/>
      <c r="DC296" s="108"/>
      <c r="DD296" s="108"/>
      <c r="DE296" s="108"/>
      <c r="DF296" s="108"/>
      <c r="DG296" s="108"/>
      <c r="DH296" s="108"/>
      <c r="DI296" s="108"/>
      <c r="DJ296" s="108"/>
      <c r="DK296" s="108"/>
      <c r="DL296" s="108"/>
      <c r="DM296" s="108"/>
      <c r="DN296" s="108"/>
      <c r="DO296" s="108"/>
      <c r="DP296" s="108"/>
      <c r="DQ296" s="108"/>
      <c r="DR296" s="108"/>
      <c r="DS296" s="108"/>
      <c r="DT296" s="108"/>
      <c r="DU296" s="108"/>
      <c r="DV296" s="108"/>
      <c r="DW296" s="108"/>
      <c r="DX296" s="108"/>
      <c r="DY296" s="108"/>
      <c r="DZ296" s="108"/>
      <c r="EA296" s="108"/>
      <c r="EB296" s="108"/>
      <c r="EC296" s="108"/>
      <c r="ED296" s="108"/>
      <c r="EE296" s="108"/>
      <c r="EF296" s="108"/>
      <c r="EG296" s="108"/>
      <c r="EH296" s="108"/>
      <c r="EI296" s="108"/>
      <c r="EJ296" s="108"/>
      <c r="EK296" s="108"/>
      <c r="EL296" s="108"/>
      <c r="EM296" s="108"/>
      <c r="EN296" s="108"/>
      <c r="EO296" s="108"/>
      <c r="EP296" s="108"/>
      <c r="EQ296" s="108"/>
      <c r="ER296" s="108"/>
      <c r="ES296" s="108"/>
      <c r="ET296" s="108"/>
      <c r="EU296" s="108"/>
      <c r="EV296" s="108"/>
      <c r="EW296" s="108"/>
      <c r="EX296" s="108"/>
      <c r="EY296" s="108"/>
      <c r="EZ296" s="108"/>
      <c r="FA296" s="108"/>
      <c r="FB296" s="108"/>
      <c r="FC296" s="108"/>
      <c r="FD296" s="108"/>
      <c r="FE296" s="108"/>
      <c r="FF296" s="108"/>
      <c r="FG296" s="108"/>
      <c r="FH296" s="108"/>
      <c r="FI296" s="108"/>
      <c r="FJ296" s="108"/>
      <c r="FK296" s="108"/>
      <c r="FL296" s="108"/>
      <c r="FM296" s="108"/>
      <c r="FN296" s="108"/>
      <c r="FO296" s="108"/>
      <c r="FP296" s="108"/>
      <c r="FQ296" s="108"/>
      <c r="FR296" s="108"/>
      <c r="FS296" s="108"/>
      <c r="FT296" s="108"/>
      <c r="FU296" s="108"/>
      <c r="FV296" s="108"/>
      <c r="FW296" s="108"/>
      <c r="FX296" s="108"/>
      <c r="FY296" s="108"/>
      <c r="FZ296" s="108"/>
      <c r="GA296" s="108"/>
      <c r="GB296" s="108"/>
      <c r="GC296" s="108"/>
      <c r="GD296" s="108"/>
      <c r="GE296" s="108"/>
      <c r="GF296" s="108"/>
      <c r="GG296" s="108"/>
      <c r="GH296" s="108"/>
      <c r="GI296" s="108"/>
      <c r="GJ296" s="108"/>
      <c r="GK296" s="108"/>
      <c r="GL296" s="108"/>
      <c r="GM296" s="108"/>
      <c r="GN296" s="108"/>
      <c r="GO296" s="108"/>
      <c r="GP296" s="108"/>
      <c r="GQ296" s="108"/>
      <c r="GR296" s="108"/>
      <c r="GS296" s="108"/>
      <c r="GT296" s="108"/>
      <c r="GU296" s="108"/>
      <c r="GV296" s="108"/>
      <c r="GW296" s="108"/>
      <c r="GX296" s="108"/>
      <c r="GY296" s="108"/>
      <c r="GZ296" s="108"/>
      <c r="HA296" s="108"/>
      <c r="HB296" s="108"/>
      <c r="HC296" s="108"/>
      <c r="HD296" s="108"/>
      <c r="HE296" s="108"/>
      <c r="HF296" s="108"/>
      <c r="HG296" s="108"/>
      <c r="HH296" s="108"/>
      <c r="HI296" s="108"/>
      <c r="HJ296" s="108"/>
      <c r="HK296" s="108"/>
      <c r="HL296" s="108"/>
      <c r="HM296" s="108"/>
      <c r="HN296" s="108"/>
      <c r="HO296" s="108"/>
      <c r="HP296" s="108"/>
      <c r="HQ296" s="108"/>
      <c r="HR296" s="108"/>
      <c r="HS296" s="108"/>
      <c r="HT296" s="108"/>
      <c r="HU296" s="108"/>
      <c r="HV296" s="108"/>
      <c r="HW296" s="108"/>
      <c r="HX296" s="108"/>
      <c r="HY296" s="108"/>
      <c r="HZ296" s="108"/>
      <c r="IA296" s="108"/>
      <c r="IB296" s="108"/>
      <c r="IC296" s="108"/>
      <c r="ID296" s="108"/>
      <c r="IE296" s="108"/>
      <c r="IF296" s="108"/>
      <c r="IG296" s="108"/>
      <c r="IH296" s="108"/>
      <c r="II296" s="108"/>
      <c r="IJ296" s="108"/>
      <c r="IK296" s="108"/>
      <c r="IL296" s="108"/>
      <c r="IM296" s="108"/>
      <c r="IN296" s="108"/>
      <c r="IO296" s="108"/>
      <c r="IP296" s="108"/>
      <c r="IQ296" s="108"/>
      <c r="IR296" s="108"/>
      <c r="IS296" s="108"/>
      <c r="IT296" s="108"/>
      <c r="IU296" s="108"/>
      <c r="IV296" s="108"/>
    </row>
    <row r="297" spans="1:256" ht="12.75">
      <c r="A297" t="s">
        <v>261</v>
      </c>
      <c r="B297" s="6">
        <f>B226+B282+$B$295</f>
        <v>17.20815454256074</v>
      </c>
      <c r="C297" s="6">
        <f>C226+C282+$B$295</f>
        <v>17.957848230989462</v>
      </c>
      <c r="D297" s="6">
        <f>D226+D282+$B$295</f>
        <v>19.764939144464805</v>
      </c>
      <c r="E297" s="6">
        <f>E226+E282+$B$295</f>
        <v>21.518549473795137</v>
      </c>
      <c r="F297" s="6">
        <f>F226+F282+$B$295</f>
        <v>22.674997636153332</v>
      </c>
      <c r="G297" s="6">
        <f>G226+G282+$B$295</f>
        <v>22.68620559964064</v>
      </c>
      <c r="H297" s="6">
        <f>H226+H282+$B$295</f>
        <v>21.58508123422076</v>
      </c>
      <c r="I297" s="6">
        <f>I226+I282+$B$295</f>
        <v>20.31561663836802</v>
      </c>
      <c r="J297" s="6">
        <f>J226+J282+$B$295</f>
        <v>19.778448678316057</v>
      </c>
      <c r="K297" s="6">
        <f>K226+K282+$B$295</f>
        <v>19.871151699861855</v>
      </c>
      <c r="L297" s="6">
        <f>L226+L282+$B$295</f>
        <v>19.897744028150132</v>
      </c>
      <c r="M297" s="6">
        <f>M226+M282+$B$295</f>
        <v>19.708058627716262</v>
      </c>
      <c r="N297" s="6">
        <f>N226+N282+$B$295</f>
        <v>19.87204170765387</v>
      </c>
      <c r="O297" s="6">
        <f>O226+O282+$B$295</f>
        <v>20.660484893387512</v>
      </c>
      <c r="P297" s="6">
        <f>P226+P282+$B$295</f>
        <v>21.40496727487629</v>
      </c>
      <c r="Q297" s="6">
        <f>Q226+Q282+$B$295</f>
        <v>21.264558001067293</v>
      </c>
      <c r="R297" s="6">
        <f>R226+R282+$B$295</f>
        <v>20.337618993363137</v>
      </c>
      <c r="S297" s="6">
        <f>S226+S282+$B$295</f>
        <v>19.521060072857903</v>
      </c>
      <c r="T297" s="6">
        <f>T226+T282+$B$295</f>
        <v>19.335292511250593</v>
      </c>
      <c r="U297" s="6">
        <f>U226+U282+$B$295</f>
        <v>19.41164299604167</v>
      </c>
      <c r="V297" s="6">
        <f>V226+V282+$B$295</f>
        <v>19.281175589621157</v>
      </c>
      <c r="W297" s="6">
        <f>W226+W282+$B$295</f>
        <v>19.069666027135938</v>
      </c>
      <c r="X297" s="6">
        <f>X226+X282+$B$295</f>
        <v>18.84090491294554</v>
      </c>
      <c r="Y297" s="6">
        <f>Y226+Y282+$B$295</f>
        <v>18.033790102714555</v>
      </c>
      <c r="Z297" s="6">
        <f>Z226+Z282+$B$295</f>
        <v>17.208154542560738</v>
      </c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  <c r="BH297" s="110"/>
      <c r="BI297" s="110"/>
      <c r="BJ297" s="110"/>
      <c r="BK297" s="110"/>
      <c r="BL297" s="110"/>
      <c r="BM297" s="110"/>
      <c r="BN297" s="110"/>
      <c r="BO297" s="110"/>
      <c r="BP297" s="110"/>
      <c r="BQ297" s="110"/>
      <c r="BR297" s="110"/>
      <c r="BS297" s="110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0"/>
      <c r="CF297" s="110"/>
      <c r="CG297" s="110"/>
      <c r="CH297" s="110"/>
      <c r="CI297" s="110"/>
      <c r="CJ297" s="110"/>
      <c r="CK297" s="110"/>
      <c r="CL297" s="110"/>
      <c r="CM297" s="110"/>
      <c r="CN297" s="110"/>
      <c r="CO297" s="110"/>
      <c r="CP297" s="110"/>
      <c r="CQ297" s="110"/>
      <c r="CR297" s="110"/>
      <c r="CS297" s="110"/>
      <c r="CT297" s="110"/>
      <c r="CU297" s="110"/>
      <c r="CV297" s="110"/>
      <c r="CW297" s="110"/>
      <c r="CX297" s="110"/>
      <c r="CY297" s="110"/>
      <c r="CZ297" s="110"/>
      <c r="DA297" s="110"/>
      <c r="DB297" s="110"/>
      <c r="DC297" s="110"/>
      <c r="DD297" s="110"/>
      <c r="DE297" s="110"/>
      <c r="DF297" s="110"/>
      <c r="DG297" s="110"/>
      <c r="DH297" s="110"/>
      <c r="DI297" s="110"/>
      <c r="DJ297" s="110"/>
      <c r="DK297" s="110"/>
      <c r="DL297" s="110"/>
      <c r="DM297" s="110"/>
      <c r="DN297" s="110"/>
      <c r="DO297" s="110"/>
      <c r="DP297" s="110"/>
      <c r="DQ297" s="110"/>
      <c r="DR297" s="110"/>
      <c r="DS297" s="110"/>
      <c r="DT297" s="110"/>
      <c r="DU297" s="110"/>
      <c r="DV297" s="110"/>
      <c r="DW297" s="110"/>
      <c r="DX297" s="110"/>
      <c r="DY297" s="110"/>
      <c r="DZ297" s="110"/>
      <c r="EA297" s="110"/>
      <c r="EB297" s="110"/>
      <c r="EC297" s="110"/>
      <c r="ED297" s="110"/>
      <c r="EE297" s="110"/>
      <c r="EF297" s="110"/>
      <c r="EG297" s="110"/>
      <c r="EH297" s="110"/>
      <c r="EI297" s="110"/>
      <c r="EJ297" s="110"/>
      <c r="EK297" s="110"/>
      <c r="EL297" s="110"/>
      <c r="EM297" s="110"/>
      <c r="EN297" s="110"/>
      <c r="EO297" s="110"/>
      <c r="EP297" s="110"/>
      <c r="EQ297" s="110"/>
      <c r="ER297" s="110"/>
      <c r="ES297" s="110"/>
      <c r="ET297" s="110"/>
      <c r="EU297" s="110"/>
      <c r="EV297" s="110"/>
      <c r="EW297" s="110"/>
      <c r="EX297" s="110"/>
      <c r="EY297" s="110"/>
      <c r="EZ297" s="110"/>
      <c r="FA297" s="110"/>
      <c r="FB297" s="110"/>
      <c r="FC297" s="110"/>
      <c r="FD297" s="110"/>
      <c r="FE297" s="110"/>
      <c r="FF297" s="110"/>
      <c r="FG297" s="110"/>
      <c r="FH297" s="110"/>
      <c r="FI297" s="110"/>
      <c r="FJ297" s="110"/>
      <c r="FK297" s="110"/>
      <c r="FL297" s="110"/>
      <c r="FM297" s="110"/>
      <c r="FN297" s="110"/>
      <c r="FO297" s="110"/>
      <c r="FP297" s="110"/>
      <c r="FQ297" s="110"/>
      <c r="FR297" s="110"/>
      <c r="FS297" s="110"/>
      <c r="FT297" s="110"/>
      <c r="FU297" s="110"/>
      <c r="FV297" s="110"/>
      <c r="FW297" s="110"/>
      <c r="FX297" s="110"/>
      <c r="FY297" s="110"/>
      <c r="FZ297" s="110"/>
      <c r="GA297" s="110"/>
      <c r="GB297" s="110"/>
      <c r="GC297" s="110"/>
      <c r="GD297" s="110"/>
      <c r="GE297" s="110"/>
      <c r="GF297" s="110"/>
      <c r="GG297" s="110"/>
      <c r="GH297" s="110"/>
      <c r="GI297" s="110"/>
      <c r="GJ297" s="110"/>
      <c r="GK297" s="110"/>
      <c r="GL297" s="110"/>
      <c r="GM297" s="110"/>
      <c r="GN297" s="110"/>
      <c r="GO297" s="110"/>
      <c r="GP297" s="110"/>
      <c r="GQ297" s="110"/>
      <c r="GR297" s="110"/>
      <c r="GS297" s="110"/>
      <c r="GT297" s="110"/>
      <c r="GU297" s="110"/>
      <c r="GV297" s="110"/>
      <c r="GW297" s="110"/>
      <c r="GX297" s="110"/>
      <c r="GY297" s="110"/>
      <c r="GZ297" s="110"/>
      <c r="HA297" s="110"/>
      <c r="HB297" s="110"/>
      <c r="HC297" s="110"/>
      <c r="HD297" s="110"/>
      <c r="HE297" s="110"/>
      <c r="HF297" s="110"/>
      <c r="HG297" s="110"/>
      <c r="HH297" s="110"/>
      <c r="HI297" s="110"/>
      <c r="HJ297" s="110"/>
      <c r="HK297" s="110"/>
      <c r="HL297" s="110"/>
      <c r="HM297" s="110"/>
      <c r="HN297" s="110"/>
      <c r="HO297" s="110"/>
      <c r="HP297" s="110"/>
      <c r="HQ297" s="110"/>
      <c r="HR297" s="110"/>
      <c r="HS297" s="110"/>
      <c r="HT297" s="110"/>
      <c r="HU297" s="110"/>
      <c r="HV297" s="110"/>
      <c r="HW297" s="110"/>
      <c r="HX297" s="110"/>
      <c r="HY297" s="110"/>
      <c r="HZ297" s="110"/>
      <c r="IA297" s="110"/>
      <c r="IB297" s="110"/>
      <c r="IC297" s="110"/>
      <c r="ID297" s="110"/>
      <c r="IE297" s="110"/>
      <c r="IF297" s="110"/>
      <c r="IG297" s="110"/>
      <c r="IH297" s="110"/>
      <c r="II297" s="110"/>
      <c r="IJ297" s="110"/>
      <c r="IK297" s="110"/>
      <c r="IL297" s="110"/>
      <c r="IM297" s="110"/>
      <c r="IN297" s="110"/>
      <c r="IO297" s="110"/>
      <c r="IP297" s="110"/>
      <c r="IQ297" s="110"/>
      <c r="IR297" s="110"/>
      <c r="IS297" s="110"/>
      <c r="IT297" s="110"/>
      <c r="IU297" s="110"/>
      <c r="IV297" s="110"/>
    </row>
    <row r="298" spans="1:256" ht="12.75">
      <c r="A298" t="s">
        <v>262</v>
      </c>
      <c r="B298" s="6">
        <f>B227-B225*(B161-B65)-B281*(B82-B65)+(B226+$B$295)*(B160-B63)+B282*(B81-B63)</f>
        <v>-16.94789403101432</v>
      </c>
      <c r="C298" s="6">
        <f>C227-C225*(C161-C65)-C281*(C82-C65)+(C226+$B$295)*(C160-C63)+C282*(C81-C63)</f>
        <v>-21.259927933912884</v>
      </c>
      <c r="D298" s="6">
        <f>D227-D225*(D161-D65)-D281*(D82-D65)+(D226+$B$295)*(D160-D63)+D282*(D81-D63)</f>
        <v>-23.908457408948685</v>
      </c>
      <c r="E298" s="6">
        <f>E227-E225*(E161-E65)-E281*(E82-E65)+(E226+$B$295)*(E160-E63)+E282*(E81-E63)</f>
        <v>-25.695101142128966</v>
      </c>
      <c r="F298" s="6">
        <f>F227-F225*(F161-F65)-F281*(F82-F65)+(F226+$B$295)*(F160-F63)+F282*(F81-F63)</f>
        <v>-26.112845110749863</v>
      </c>
      <c r="G298" s="6">
        <f>G227-G225*(G161-G65)-G281*(G82-G65)+(G226+$B$295)*(G160-G63)+G282*(G81-G63)</f>
        <v>-24.368260823278785</v>
      </c>
      <c r="H298" s="6">
        <f>H227-H225*(H161-H65)-H281*(H82-H65)+(H226+$B$295)*(H160-H63)+H282*(H81-H63)</f>
        <v>-21.17765196645887</v>
      </c>
      <c r="I298" s="6">
        <f>I227-I225*(I161-I65)-I281*(I82-I65)+(I226+$B$295)*(I160-I63)+I282*(I81-I63)</f>
        <v>-18.02053592880192</v>
      </c>
      <c r="J298" s="6">
        <f>J227-J225*(J161-J65)-J281*(J82-J65)+(J226+$B$295)*(J160-J63)+J282*(J81-J63)</f>
        <v>-15.392466597399508</v>
      </c>
      <c r="K298" s="6">
        <f>K227-K225*(K161-K65)-K281*(K82-K65)+(K226+$B$295)*(K160-K63)+K282*(K81-K63)</f>
        <v>-13.012557394464853</v>
      </c>
      <c r="L298" s="6">
        <f>L227-L225*(L161-L65)-L281*(L82-L65)+(L226+$B$295)*(L160-L63)+L282*(L81-L63)</f>
        <v>-10.963998234380282</v>
      </c>
      <c r="M298" s="6">
        <f>M227-M225*(M161-M65)-M281*(M82-M65)+(M226+$B$295)*(M160-M63)+M282*(M81-M63)</f>
        <v>-9.468415945214556</v>
      </c>
      <c r="N298" s="6">
        <f>N227-N225*(N161-N65)-N281*(N82-N65)+(N226+$B$295)*(N160-N63)+N282*(N81-N63)</f>
        <v>-8.158113643574286</v>
      </c>
      <c r="O298" s="6">
        <f>O227-O225*(O161-O65)-O281*(O82-O65)+(O226+$B$295)*(O160-O63)+O282*(O81-O63)</f>
        <v>-6.629418162711378</v>
      </c>
      <c r="P298" s="6">
        <f>P227-P225*(P161-P65)-P281*(P82-P65)+(P226+$B$295)*(P160-P63)+P282*(P81-P63)</f>
        <v>-5.342038099224791</v>
      </c>
      <c r="Q298" s="6">
        <f>Q227-Q225*(Q161-Q65)-Q281*(Q82-Q65)+(Q226+$B$295)*(Q160-Q63)+Q282*(Q81-Q63)</f>
        <v>-5.095145254001112</v>
      </c>
      <c r="R298" s="6">
        <f>R227-R225*(R161-R65)-R281*(R82-R65)+(R226+$B$295)*(R160-R63)+R282*(R81-R63)</f>
        <v>-5.79967649185207</v>
      </c>
      <c r="S298" s="6">
        <f>S227-S225*(S161-S65)-S281*(S82-S65)+(S226+$B$295)*(S160-S63)+S282*(S81-S63)</f>
        <v>-6.502340074453263</v>
      </c>
      <c r="T298" s="6">
        <f>T227-T225*(T161-T65)-T281*(T82-T65)+(T226+$B$295)*(T160-T63)+T282*(T81-T63)</f>
        <v>-6.61141415135063</v>
      </c>
      <c r="U298" s="6">
        <f>U227-U225*(U161-U65)-U281*(U82-U65)+(U226+$B$295)*(U160-U63)+U282*(U81-U63)</f>
        <v>-6.473552524764495</v>
      </c>
      <c r="V298" s="6">
        <f>V227-V225*(V161-V65)-V281*(V82-V65)+(V226+$B$295)*(V160-V63)+V282*(V81-V63)</f>
        <v>-6.596106687262707</v>
      </c>
      <c r="W298" s="6">
        <f>W227-W225*(W161-W65)-W281*(W82-W65)+(W226+$B$295)*(W160-W63)+W282*(W81-W63)</f>
        <v>-7.014087490611716</v>
      </c>
      <c r="X298" s="6">
        <f>X227-X225*(X161-X65)-X281*(X82-X65)+(X226+$B$295)*(X160-X63)+X282*(X81-X63)</f>
        <v>-8.19102383824012</v>
      </c>
      <c r="Y298" s="6">
        <f>Y227-Y225*(Y161-Y65)-Y281*(Y82-Y65)+(Y226+$B$295)*(Y160-Y63)+Y282*(Y81-Y63)</f>
        <v>-11.62316372107955</v>
      </c>
      <c r="Z298" s="6">
        <f>Z227-Z225*(Z161-Z65)-Z281*(Z82-Z65)+(Z226+$B$295)*(Z160-Z63)+Z282*(Z81-Z63)</f>
        <v>-16.94789403101432</v>
      </c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0"/>
      <c r="CF298" s="110"/>
      <c r="CG298" s="110"/>
      <c r="CH298" s="110"/>
      <c r="CI298" s="110"/>
      <c r="CJ298" s="110"/>
      <c r="CK298" s="110"/>
      <c r="CL298" s="110"/>
      <c r="CM298" s="110"/>
      <c r="CN298" s="110"/>
      <c r="CO298" s="110"/>
      <c r="CP298" s="110"/>
      <c r="CQ298" s="110"/>
      <c r="CR298" s="110"/>
      <c r="CS298" s="110"/>
      <c r="CT298" s="110"/>
      <c r="CU298" s="110"/>
      <c r="CV298" s="110"/>
      <c r="CW298" s="110"/>
      <c r="CX298" s="110"/>
      <c r="CY298" s="110"/>
      <c r="CZ298" s="110"/>
      <c r="DA298" s="110"/>
      <c r="DB298" s="110"/>
      <c r="DC298" s="110"/>
      <c r="DD298" s="110"/>
      <c r="DE298" s="110"/>
      <c r="DF298" s="110"/>
      <c r="DG298" s="110"/>
      <c r="DH298" s="110"/>
      <c r="DI298" s="110"/>
      <c r="DJ298" s="110"/>
      <c r="DK298" s="110"/>
      <c r="DL298" s="110"/>
      <c r="DM298" s="110"/>
      <c r="DN298" s="110"/>
      <c r="DO298" s="110"/>
      <c r="DP298" s="110"/>
      <c r="DQ298" s="110"/>
      <c r="DR298" s="110"/>
      <c r="DS298" s="110"/>
      <c r="DT298" s="110"/>
      <c r="DU298" s="110"/>
      <c r="DV298" s="110"/>
      <c r="DW298" s="110"/>
      <c r="DX298" s="110"/>
      <c r="DY298" s="110"/>
      <c r="DZ298" s="110"/>
      <c r="EA298" s="110"/>
      <c r="EB298" s="110"/>
      <c r="EC298" s="110"/>
      <c r="ED298" s="110"/>
      <c r="EE298" s="110"/>
      <c r="EF298" s="110"/>
      <c r="EG298" s="110"/>
      <c r="EH298" s="110"/>
      <c r="EI298" s="110"/>
      <c r="EJ298" s="110"/>
      <c r="EK298" s="110"/>
      <c r="EL298" s="110"/>
      <c r="EM298" s="110"/>
      <c r="EN298" s="110"/>
      <c r="EO298" s="110"/>
      <c r="EP298" s="110"/>
      <c r="EQ298" s="110"/>
      <c r="ER298" s="110"/>
      <c r="ES298" s="110"/>
      <c r="ET298" s="110"/>
      <c r="EU298" s="110"/>
      <c r="EV298" s="110"/>
      <c r="EW298" s="110"/>
      <c r="EX298" s="110"/>
      <c r="EY298" s="110"/>
      <c r="EZ298" s="110"/>
      <c r="FA298" s="110"/>
      <c r="FB298" s="110"/>
      <c r="FC298" s="110"/>
      <c r="FD298" s="110"/>
      <c r="FE298" s="110"/>
      <c r="FF298" s="110"/>
      <c r="FG298" s="110"/>
      <c r="FH298" s="110"/>
      <c r="FI298" s="110"/>
      <c r="FJ298" s="110"/>
      <c r="FK298" s="110"/>
      <c r="FL298" s="110"/>
      <c r="FM298" s="110"/>
      <c r="FN298" s="110"/>
      <c r="FO298" s="110"/>
      <c r="FP298" s="110"/>
      <c r="FQ298" s="110"/>
      <c r="FR298" s="110"/>
      <c r="FS298" s="110"/>
      <c r="FT298" s="110"/>
      <c r="FU298" s="110"/>
      <c r="FV298" s="110"/>
      <c r="FW298" s="110"/>
      <c r="FX298" s="110"/>
      <c r="FY298" s="110"/>
      <c r="FZ298" s="110"/>
      <c r="GA298" s="110"/>
      <c r="GB298" s="110"/>
      <c r="GC298" s="110"/>
      <c r="GD298" s="110"/>
      <c r="GE298" s="110"/>
      <c r="GF298" s="110"/>
      <c r="GG298" s="110"/>
      <c r="GH298" s="110"/>
      <c r="GI298" s="110"/>
      <c r="GJ298" s="110"/>
      <c r="GK298" s="110"/>
      <c r="GL298" s="110"/>
      <c r="GM298" s="110"/>
      <c r="GN298" s="110"/>
      <c r="GO298" s="110"/>
      <c r="GP298" s="110"/>
      <c r="GQ298" s="110"/>
      <c r="GR298" s="110"/>
      <c r="GS298" s="110"/>
      <c r="GT298" s="110"/>
      <c r="GU298" s="110"/>
      <c r="GV298" s="110"/>
      <c r="GW298" s="110"/>
      <c r="GX298" s="110"/>
      <c r="GY298" s="110"/>
      <c r="GZ298" s="110"/>
      <c r="HA298" s="110"/>
      <c r="HB298" s="110"/>
      <c r="HC298" s="110"/>
      <c r="HD298" s="110"/>
      <c r="HE298" s="110"/>
      <c r="HF298" s="110"/>
      <c r="HG298" s="110"/>
      <c r="HH298" s="110"/>
      <c r="HI298" s="110"/>
      <c r="HJ298" s="110"/>
      <c r="HK298" s="110"/>
      <c r="HL298" s="110"/>
      <c r="HM298" s="110"/>
      <c r="HN298" s="110"/>
      <c r="HO298" s="110"/>
      <c r="HP298" s="110"/>
      <c r="HQ298" s="110"/>
      <c r="HR298" s="110"/>
      <c r="HS298" s="110"/>
      <c r="HT298" s="110"/>
      <c r="HU298" s="110"/>
      <c r="HV298" s="110"/>
      <c r="HW298" s="110"/>
      <c r="HX298" s="110"/>
      <c r="HY298" s="110"/>
      <c r="HZ298" s="110"/>
      <c r="IA298" s="110"/>
      <c r="IB298" s="110"/>
      <c r="IC298" s="110"/>
      <c r="ID298" s="110"/>
      <c r="IE298" s="110"/>
      <c r="IF298" s="110"/>
      <c r="IG298" s="110"/>
      <c r="IH298" s="110"/>
      <c r="II298" s="110"/>
      <c r="IJ298" s="110"/>
      <c r="IK298" s="110"/>
      <c r="IL298" s="110"/>
      <c r="IM298" s="110"/>
      <c r="IN298" s="110"/>
      <c r="IO298" s="110"/>
      <c r="IP298" s="110"/>
      <c r="IQ298" s="110"/>
      <c r="IR298" s="110"/>
      <c r="IS298" s="110"/>
      <c r="IT298" s="110"/>
      <c r="IU298" s="110"/>
      <c r="IV298" s="110"/>
    </row>
    <row r="299" spans="1:26" s="108" customFormat="1" ht="12.75">
      <c r="A299" s="5" t="s">
        <v>317</v>
      </c>
      <c r="B299" s="5">
        <f>B296*B66+B297*B67+B298*B77-(B228+B229+B236+B237)-B266</f>
        <v>4.6629367034256575E-15</v>
      </c>
      <c r="C299" s="5">
        <f>C296*C66+C297*C67+C298*C77-(C228+C229+C236+C237)-C266</f>
        <v>0</v>
      </c>
      <c r="D299" s="5">
        <f>D296*D66+D297*D67+D298*D77-(D228+D229+D236+D237)-D266</f>
        <v>0</v>
      </c>
      <c r="E299" s="5">
        <f>E296*E66+E297*E67+E298*E77-(E228+E229+E236+E237)-E266</f>
        <v>0</v>
      </c>
      <c r="F299" s="5">
        <f>F296*F66+F297*F67+F298*F77-(F228+F229+F236+F237)-F266</f>
        <v>0</v>
      </c>
      <c r="G299" s="5">
        <f>G296*G66+G297*G67+G298*G77-(G228+G229+G236+G237)-G266</f>
        <v>0</v>
      </c>
      <c r="H299" s="5">
        <f>H296*H66+H297*H67+H298*H77-(H228+H229+H236+H237)-H266</f>
        <v>0</v>
      </c>
      <c r="I299" s="5">
        <f>I296*I66+I297*I67+I298*I77-(I228+I229+I236+I237)-I266</f>
        <v>0</v>
      </c>
      <c r="J299" s="5">
        <f>J296*J66+J297*J67+J298*J77-(J228+J229+J236+J237)-J266</f>
        <v>0</v>
      </c>
      <c r="K299" s="5">
        <f>K296*K66+K297*K67+K298*K77-(K228+K229+K236+K237)-K266</f>
        <v>-1.7763568394002505E-15</v>
      </c>
      <c r="L299" s="5">
        <f>L296*L66+L297*L67+L298*L77-(L228+L229+L236+L237)-L266</f>
        <v>2.525757381022231E-15</v>
      </c>
      <c r="M299" s="5">
        <f>M296*M66+M297*M67+M298*M77-(M228+M229+M236+M237)-M266</f>
        <v>0</v>
      </c>
      <c r="N299" s="5">
        <f>N296*N66+N297*N67+N298*N77-(N228+N229+N236+N237)-N266</f>
        <v>0</v>
      </c>
      <c r="O299" s="5">
        <f>O296*O66+O297*O67+O298*O77-(O228+O229+O236+O237)-O266</f>
        <v>-2.609024107869118E-15</v>
      </c>
      <c r="P299" s="5">
        <f>P296*P66+P297*P67+P298*P77-(P228+P229+P236+P237)-P266</f>
        <v>0</v>
      </c>
      <c r="Q299" s="5">
        <f>Q296*Q66+Q297*Q67+Q298*Q77-(Q228+Q229+Q236+Q237)-Q266</f>
        <v>1.8596235662471372E-15</v>
      </c>
      <c r="R299" s="5">
        <f>R296*R66+R297*R67+R298*R77-(R228+R229+R236+R237)-R266</f>
        <v>-4.440892098500626E-16</v>
      </c>
      <c r="S299" s="5">
        <f>S296*S66+S297*S67+S298*S77-(S228+S229+S236+S237)-S266</f>
        <v>0</v>
      </c>
      <c r="T299" s="5">
        <f>T296*T66+T297*T67+T298*T77-(T228+T229+T236+T237)-T266</f>
        <v>0</v>
      </c>
      <c r="U299" s="5">
        <f>U296*U66+U297*U67+U298*U77-(U228+U229+U236+U237)-U266</f>
        <v>0</v>
      </c>
      <c r="V299" s="5">
        <f>V296*V66+V297*V67+V298*V77-(V228+V229+V236+V237)-V266</f>
        <v>0</v>
      </c>
      <c r="W299" s="5">
        <f>W296*W66+W297*W67+W298*W77-(W228+W229+W236+W237)-W266</f>
        <v>0</v>
      </c>
      <c r="X299" s="5">
        <f>X296*X66+X297*X67+X298*X77-(X228+X229+X236+X237)-X266</f>
        <v>0</v>
      </c>
      <c r="Y299" s="5">
        <f>Y296*Y66+Y297*Y67+Y298*Y77-(Y228+Y229+Y236+Y237)-Y266</f>
        <v>0</v>
      </c>
      <c r="Z299" s="5">
        <f>Z296*Z66+Z297*Z67+Z298*Z77-(Z228+Z229+Z236+Z237)-Z266</f>
        <v>4.440892098500626E-15</v>
      </c>
    </row>
    <row r="300" spans="1:256" ht="12.75">
      <c r="A300" t="s">
        <v>323</v>
      </c>
      <c r="B300" s="19">
        <f>B298*B77/B39</f>
        <v>-8.104638085889427</v>
      </c>
      <c r="C300" s="19">
        <f>C298*C77/C39</f>
        <v>-12.174464151828873</v>
      </c>
      <c r="D300" s="19">
        <f>D298*D77/D39</f>
        <v>-15.101436904639415</v>
      </c>
      <c r="E300" s="19">
        <f>E298*E77/E39</f>
        <v>-16.84947821958113</v>
      </c>
      <c r="F300" s="19">
        <f>F298*F77/F39</f>
        <v>-17.030838728436162</v>
      </c>
      <c r="G300" s="19">
        <f>G298*G77/G39</f>
        <v>-15.32015534691661</v>
      </c>
      <c r="H300" s="19">
        <f>H298*H77/H39</f>
        <v>-12.519187887499175</v>
      </c>
      <c r="I300" s="19">
        <f>I298*I77/I39</f>
        <v>-9.79714821820592</v>
      </c>
      <c r="J300" s="19">
        <f>J298*J77/J39</f>
        <v>-7.529516602551911</v>
      </c>
      <c r="K300" s="19">
        <f>K298*K77/K39</f>
        <v>-5.596829113348856</v>
      </c>
      <c r="L300" s="19">
        <f>L298*L77/L39</f>
        <v>-4.044239440272899</v>
      </c>
      <c r="M300" s="19">
        <f>M298*M77/M39</f>
        <v>-2.914981334957084</v>
      </c>
      <c r="N300" s="19">
        <f>N298*N77/N39</f>
        <v>-2.0354913500003646</v>
      </c>
      <c r="O300" s="19">
        <f>O298*O77/O39</f>
        <v>-1.2993982820112324</v>
      </c>
      <c r="P300" s="19">
        <f>P298*P77/P39</f>
        <v>-0.7974388461191193</v>
      </c>
      <c r="Q300" s="19">
        <f>Q298*Q77/Q39</f>
        <v>-0.5652133742955534</v>
      </c>
      <c r="R300" s="19">
        <f>R298*R77/R39</f>
        <v>-0.4780279718690041</v>
      </c>
      <c r="S300" s="19">
        <f>S298*S77/S39</f>
        <v>-0.42460815445918554</v>
      </c>
      <c r="T300" s="19">
        <f>T298*T77/T39</f>
        <v>-0.40705054756939973</v>
      </c>
      <c r="U300" s="19">
        <f>U298*U77/U39</f>
        <v>-0.4796343028797838</v>
      </c>
      <c r="V300" s="19">
        <f>V298*V77/V39</f>
        <v>-0.7053317863742834</v>
      </c>
      <c r="W300" s="19">
        <f>W298*W77/W39</f>
        <v>-1.1576553659120818</v>
      </c>
      <c r="X300" s="19">
        <f>X298*X77/X39</f>
        <v>-2.062903239461445</v>
      </c>
      <c r="Y300" s="19">
        <f>Y298*Y77/Y39</f>
        <v>-4.2151749509520675</v>
      </c>
      <c r="Z300" s="19">
        <f>Z298*Z77/Z39</f>
        <v>-8.104638085889428</v>
      </c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  <c r="CW300" s="108"/>
      <c r="CX300" s="108"/>
      <c r="CY300" s="108"/>
      <c r="CZ300" s="108"/>
      <c r="DA300" s="108"/>
      <c r="DB300" s="108"/>
      <c r="DC300" s="108"/>
      <c r="DD300" s="108"/>
      <c r="DE300" s="108"/>
      <c r="DF300" s="108"/>
      <c r="DG300" s="108"/>
      <c r="DH300" s="108"/>
      <c r="DI300" s="108"/>
      <c r="DJ300" s="108"/>
      <c r="DK300" s="108"/>
      <c r="DL300" s="108"/>
      <c r="DM300" s="108"/>
      <c r="DN300" s="108"/>
      <c r="DO300" s="108"/>
      <c r="DP300" s="108"/>
      <c r="DQ300" s="108"/>
      <c r="DR300" s="108"/>
      <c r="DS300" s="108"/>
      <c r="DT300" s="108"/>
      <c r="DU300" s="108"/>
      <c r="DV300" s="108"/>
      <c r="DW300" s="108"/>
      <c r="DX300" s="108"/>
      <c r="DY300" s="108"/>
      <c r="DZ300" s="108"/>
      <c r="EA300" s="108"/>
      <c r="EB300" s="108"/>
      <c r="EC300" s="108"/>
      <c r="ED300" s="108"/>
      <c r="EE300" s="108"/>
      <c r="EF300" s="108"/>
      <c r="EG300" s="108"/>
      <c r="EH300" s="108"/>
      <c r="EI300" s="108"/>
      <c r="EJ300" s="108"/>
      <c r="EK300" s="108"/>
      <c r="EL300" s="108"/>
      <c r="EM300" s="108"/>
      <c r="EN300" s="108"/>
      <c r="EO300" s="108"/>
      <c r="EP300" s="108"/>
      <c r="EQ300" s="108"/>
      <c r="ER300" s="108"/>
      <c r="ES300" s="108"/>
      <c r="ET300" s="108"/>
      <c r="EU300" s="108"/>
      <c r="EV300" s="108"/>
      <c r="EW300" s="108"/>
      <c r="EX300" s="108"/>
      <c r="EY300" s="108"/>
      <c r="EZ300" s="108"/>
      <c r="FA300" s="108"/>
      <c r="FB300" s="108"/>
      <c r="FC300" s="108"/>
      <c r="FD300" s="108"/>
      <c r="FE300" s="108"/>
      <c r="FF300" s="108"/>
      <c r="FG300" s="108"/>
      <c r="FH300" s="108"/>
      <c r="FI300" s="108"/>
      <c r="FJ300" s="108"/>
      <c r="FK300" s="108"/>
      <c r="FL300" s="108"/>
      <c r="FM300" s="108"/>
      <c r="FN300" s="108"/>
      <c r="FO300" s="108"/>
      <c r="FP300" s="108"/>
      <c r="FQ300" s="108"/>
      <c r="FR300" s="108"/>
      <c r="FS300" s="108"/>
      <c r="FT300" s="108"/>
      <c r="FU300" s="108"/>
      <c r="FV300" s="108"/>
      <c r="FW300" s="108"/>
      <c r="FX300" s="108"/>
      <c r="FY300" s="108"/>
      <c r="FZ300" s="108"/>
      <c r="GA300" s="108"/>
      <c r="GB300" s="108"/>
      <c r="GC300" s="108"/>
      <c r="GD300" s="108"/>
      <c r="GE300" s="108"/>
      <c r="GF300" s="108"/>
      <c r="GG300" s="108"/>
      <c r="GH300" s="108"/>
      <c r="GI300" s="108"/>
      <c r="GJ300" s="108"/>
      <c r="GK300" s="108"/>
      <c r="GL300" s="108"/>
      <c r="GM300" s="108"/>
      <c r="GN300" s="108"/>
      <c r="GO300" s="108"/>
      <c r="GP300" s="108"/>
      <c r="GQ300" s="108"/>
      <c r="GR300" s="108"/>
      <c r="GS300" s="108"/>
      <c r="GT300" s="108"/>
      <c r="GU300" s="108"/>
      <c r="GV300" s="108"/>
      <c r="GW300" s="108"/>
      <c r="GX300" s="108"/>
      <c r="GY300" s="108"/>
      <c r="GZ300" s="108"/>
      <c r="HA300" s="108"/>
      <c r="HB300" s="108"/>
      <c r="HC300" s="108"/>
      <c r="HD300" s="108"/>
      <c r="HE300" s="108"/>
      <c r="HF300" s="108"/>
      <c r="HG300" s="108"/>
      <c r="HH300" s="108"/>
      <c r="HI300" s="108"/>
      <c r="HJ300" s="108"/>
      <c r="HK300" s="108"/>
      <c r="HL300" s="108"/>
      <c r="HM300" s="108"/>
      <c r="HN300" s="108"/>
      <c r="HO300" s="108"/>
      <c r="HP300" s="108"/>
      <c r="HQ300" s="108"/>
      <c r="HR300" s="108"/>
      <c r="HS300" s="108"/>
      <c r="HT300" s="108"/>
      <c r="HU300" s="108"/>
      <c r="HV300" s="108"/>
      <c r="HW300" s="108"/>
      <c r="HX300" s="108"/>
      <c r="HY300" s="108"/>
      <c r="HZ300" s="108"/>
      <c r="IA300" s="108"/>
      <c r="IB300" s="108"/>
      <c r="IC300" s="108"/>
      <c r="ID300" s="108"/>
      <c r="IE300" s="108"/>
      <c r="IF300" s="108"/>
      <c r="IG300" s="108"/>
      <c r="IH300" s="108"/>
      <c r="II300" s="108"/>
      <c r="IJ300" s="108"/>
      <c r="IK300" s="108"/>
      <c r="IL300" s="108"/>
      <c r="IM300" s="108"/>
      <c r="IN300" s="108"/>
      <c r="IO300" s="108"/>
      <c r="IP300" s="108"/>
      <c r="IQ300" s="108"/>
      <c r="IR300" s="108"/>
      <c r="IS300" s="108"/>
      <c r="IT300" s="108"/>
      <c r="IU300" s="108"/>
      <c r="IV300" s="108"/>
    </row>
    <row r="301" spans="1:256" ht="12.75">
      <c r="A301" t="s">
        <v>328</v>
      </c>
      <c r="B301" s="19">
        <f>B296*B66+B297*B67+B300*B39-(B228+B229+B236+B237)-B266</f>
        <v>4.6629367034256575E-15</v>
      </c>
      <c r="C301" s="19">
        <f>C296*C66+C297*C67+C300*C39-(C228+C229+C236+C237)-C266</f>
        <v>0</v>
      </c>
      <c r="D301" s="19">
        <f>D296*D66+D297*D67+D300*D39-(D228+D229+D236+D237)-D266</f>
        <v>0</v>
      </c>
      <c r="E301" s="19">
        <f>E296*E66+E297*E67+E300*E39-(E228+E229+E236+E237)-E266</f>
        <v>0</v>
      </c>
      <c r="F301" s="19">
        <f>F296*F66+F297*F67+F300*F39-(F228+F229+F236+F237)-F266</f>
        <v>0</v>
      </c>
      <c r="G301" s="19">
        <f>G296*G66+G297*G67+G300*G39-(G228+G229+G236+G237)-G266</f>
        <v>0</v>
      </c>
      <c r="H301" s="19">
        <f>H296*H66+H297*H67+H300*H39-(H228+H229+H236+H237)-H266</f>
        <v>0</v>
      </c>
      <c r="I301" s="19">
        <f>I296*I66+I297*I67+I300*I39-(I228+I229+I236+I237)-I266</f>
        <v>0</v>
      </c>
      <c r="J301" s="19">
        <f>J296*J66+J297*J67+J300*J39-(J228+J229+J236+J237)-J266</f>
        <v>0</v>
      </c>
      <c r="K301" s="19">
        <f>K296*K66+K297*K67+K300*K39-(K228+K229+K236+K237)-K266</f>
        <v>-1.7763568394002505E-15</v>
      </c>
      <c r="L301" s="19">
        <f>L296*L66+L297*L67+L300*L39-(L228+L229+L236+L237)-L266</f>
        <v>2.525757381022231E-15</v>
      </c>
      <c r="M301" s="19">
        <f>M296*M66+M297*M67+M300*M39-(M228+M229+M236+M237)-M266</f>
        <v>0</v>
      </c>
      <c r="N301" s="19">
        <f>N296*N66+N297*N67+N300*N39-(N228+N229+N236+N237)-N266</f>
        <v>0</v>
      </c>
      <c r="O301" s="19">
        <f>O296*O66+O297*O67+O300*O39-(O228+O229+O236+O237)-O266</f>
        <v>-2.609024107869118E-15</v>
      </c>
      <c r="P301" s="19">
        <f>P296*P66+P297*P67+P300*P39-(P228+P229+P236+P237)-P266</f>
        <v>0</v>
      </c>
      <c r="Q301" s="19">
        <f>Q296*Q66+Q297*Q67+Q300*Q39-(Q228+Q229+Q236+Q237)-Q266</f>
        <v>1.8596235662471372E-15</v>
      </c>
      <c r="R301" s="19">
        <f>R296*R66+R297*R67+R300*R39-(R228+R229+R236+R237)-R266</f>
        <v>-4.440892098500626E-16</v>
      </c>
      <c r="S301" s="19">
        <f>S296*S66+S297*S67+S300*S39-(S228+S229+S236+S237)-S266</f>
        <v>0</v>
      </c>
      <c r="T301" s="19">
        <f>T296*T66+T297*T67+T300*T39-(T228+T229+T236+T237)-T266</f>
        <v>0</v>
      </c>
      <c r="U301" s="19">
        <f>U296*U66+U297*U67+U300*U39-(U228+U229+U236+U237)-U266</f>
        <v>0</v>
      </c>
      <c r="V301" s="19">
        <f>V296*V66+V297*V67+V300*V39-(V228+V229+V236+V237)-V266</f>
        <v>0</v>
      </c>
      <c r="W301" s="19">
        <f>W296*W66+W297*W67+W300*W39-(W228+W229+W236+W237)-W266</f>
        <v>0</v>
      </c>
      <c r="X301" s="19">
        <f>X296*X66+X297*X67+X300*X39-(X228+X229+X236+X237)-X266</f>
        <v>0</v>
      </c>
      <c r="Y301" s="19">
        <f>Y296*Y66+Y297*Y67+Y300*Y39-(Y228+Y229+Y236+Y237)-Y266</f>
        <v>0</v>
      </c>
      <c r="Z301" s="19">
        <f>Z296*Z66+Z297*Z67+Z300*Z39-(Z228+Z229+Z236+Z237)-Z266</f>
        <v>4.440892098500626E-15</v>
      </c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  <c r="CW301" s="108"/>
      <c r="CX301" s="108"/>
      <c r="CY301" s="108"/>
      <c r="CZ301" s="108"/>
      <c r="DA301" s="108"/>
      <c r="DB301" s="108"/>
      <c r="DC301" s="108"/>
      <c r="DD301" s="108"/>
      <c r="DE301" s="108"/>
      <c r="DF301" s="108"/>
      <c r="DG301" s="108"/>
      <c r="DH301" s="108"/>
      <c r="DI301" s="108"/>
      <c r="DJ301" s="108"/>
      <c r="DK301" s="108"/>
      <c r="DL301" s="108"/>
      <c r="DM301" s="108"/>
      <c r="DN301" s="108"/>
      <c r="DO301" s="108"/>
      <c r="DP301" s="108"/>
      <c r="DQ301" s="108"/>
      <c r="DR301" s="108"/>
      <c r="DS301" s="108"/>
      <c r="DT301" s="108"/>
      <c r="DU301" s="108"/>
      <c r="DV301" s="108"/>
      <c r="DW301" s="108"/>
      <c r="DX301" s="108"/>
      <c r="DY301" s="108"/>
      <c r="DZ301" s="108"/>
      <c r="EA301" s="108"/>
      <c r="EB301" s="108"/>
      <c r="EC301" s="108"/>
      <c r="ED301" s="108"/>
      <c r="EE301" s="108"/>
      <c r="EF301" s="108"/>
      <c r="EG301" s="108"/>
      <c r="EH301" s="108"/>
      <c r="EI301" s="108"/>
      <c r="EJ301" s="108"/>
      <c r="EK301" s="108"/>
      <c r="EL301" s="108"/>
      <c r="EM301" s="108"/>
      <c r="EN301" s="108"/>
      <c r="EO301" s="108"/>
      <c r="EP301" s="108"/>
      <c r="EQ301" s="108"/>
      <c r="ER301" s="108"/>
      <c r="ES301" s="108"/>
      <c r="ET301" s="108"/>
      <c r="EU301" s="108"/>
      <c r="EV301" s="108"/>
      <c r="EW301" s="108"/>
      <c r="EX301" s="108"/>
      <c r="EY301" s="108"/>
      <c r="EZ301" s="108"/>
      <c r="FA301" s="108"/>
      <c r="FB301" s="108"/>
      <c r="FC301" s="108"/>
      <c r="FD301" s="108"/>
      <c r="FE301" s="108"/>
      <c r="FF301" s="108"/>
      <c r="FG301" s="108"/>
      <c r="FH301" s="108"/>
      <c r="FI301" s="108"/>
      <c r="FJ301" s="108"/>
      <c r="FK301" s="108"/>
      <c r="FL301" s="108"/>
      <c r="FM301" s="108"/>
      <c r="FN301" s="108"/>
      <c r="FO301" s="108"/>
      <c r="FP301" s="108"/>
      <c r="FQ301" s="108"/>
      <c r="FR301" s="108"/>
      <c r="FS301" s="108"/>
      <c r="FT301" s="108"/>
      <c r="FU301" s="108"/>
      <c r="FV301" s="108"/>
      <c r="FW301" s="108"/>
      <c r="FX301" s="108"/>
      <c r="FY301" s="108"/>
      <c r="FZ301" s="108"/>
      <c r="GA301" s="108"/>
      <c r="GB301" s="108"/>
      <c r="GC301" s="108"/>
      <c r="GD301" s="108"/>
      <c r="GE301" s="108"/>
      <c r="GF301" s="108"/>
      <c r="GG301" s="108"/>
      <c r="GH301" s="108"/>
      <c r="GI301" s="108"/>
      <c r="GJ301" s="108"/>
      <c r="GK301" s="108"/>
      <c r="GL301" s="108"/>
      <c r="GM301" s="108"/>
      <c r="GN301" s="108"/>
      <c r="GO301" s="108"/>
      <c r="GP301" s="108"/>
      <c r="GQ301" s="108"/>
      <c r="GR301" s="108"/>
      <c r="GS301" s="108"/>
      <c r="GT301" s="108"/>
      <c r="GU301" s="108"/>
      <c r="GV301" s="108"/>
      <c r="GW301" s="108"/>
      <c r="GX301" s="108"/>
      <c r="GY301" s="108"/>
      <c r="GZ301" s="108"/>
      <c r="HA301" s="108"/>
      <c r="HB301" s="108"/>
      <c r="HC301" s="108"/>
      <c r="HD301" s="108"/>
      <c r="HE301" s="108"/>
      <c r="HF301" s="108"/>
      <c r="HG301" s="108"/>
      <c r="HH301" s="108"/>
      <c r="HI301" s="108"/>
      <c r="HJ301" s="108"/>
      <c r="HK301" s="108"/>
      <c r="HL301" s="108"/>
      <c r="HM301" s="108"/>
      <c r="HN301" s="108"/>
      <c r="HO301" s="108"/>
      <c r="HP301" s="108"/>
      <c r="HQ301" s="108"/>
      <c r="HR301" s="108"/>
      <c r="HS301" s="108"/>
      <c r="HT301" s="108"/>
      <c r="HU301" s="108"/>
      <c r="HV301" s="108"/>
      <c r="HW301" s="108"/>
      <c r="HX301" s="108"/>
      <c r="HY301" s="108"/>
      <c r="HZ301" s="108"/>
      <c r="IA301" s="108"/>
      <c r="IB301" s="108"/>
      <c r="IC301" s="108"/>
      <c r="ID301" s="108"/>
      <c r="IE301" s="108"/>
      <c r="IF301" s="108"/>
      <c r="IG301" s="108"/>
      <c r="IH301" s="108"/>
      <c r="II301" s="108"/>
      <c r="IJ301" s="108"/>
      <c r="IK301" s="108"/>
      <c r="IL301" s="108"/>
      <c r="IM301" s="108"/>
      <c r="IN301" s="108"/>
      <c r="IO301" s="108"/>
      <c r="IP301" s="108"/>
      <c r="IQ301" s="108"/>
      <c r="IR301" s="108"/>
      <c r="IS301" s="108"/>
      <c r="IT301" s="108"/>
      <c r="IU301" s="108"/>
      <c r="IV301" s="108"/>
    </row>
    <row r="302" spans="1:26" s="121" customFormat="1" ht="12.75">
      <c r="A302" s="51" t="s">
        <v>320</v>
      </c>
      <c r="B302" s="51">
        <f>O6*S5</f>
        <v>10</v>
      </c>
      <c r="C302" s="83" t="s">
        <v>290</v>
      </c>
      <c r="D302" s="83"/>
      <c r="E302" s="83"/>
      <c r="F302" s="83"/>
      <c r="G302" s="83"/>
      <c r="H302" s="83"/>
      <c r="I302" s="83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56" ht="12.75">
      <c r="A303" t="s">
        <v>263</v>
      </c>
      <c r="B303" s="5">
        <f>B291*B94/B100</f>
        <v>4.467705386974544</v>
      </c>
      <c r="C303" s="5">
        <f>C291*C94/C100</f>
        <v>0.20203337221805764</v>
      </c>
      <c r="D303" s="5">
        <f>D291*D94/D100</f>
        <v>-4.770456527743347</v>
      </c>
      <c r="E303" s="5">
        <f>E291*E94/E100</f>
        <v>-1.7398620764011536</v>
      </c>
      <c r="F303" s="5">
        <f>F291*F94/F100</f>
        <v>-0.823948408354573</v>
      </c>
      <c r="G303" s="5">
        <f>G291*G94/G100</f>
        <v>-3.6855398274166213</v>
      </c>
      <c r="H303" s="5">
        <f>H291*H94/H100</f>
        <v>1.5896352012814283</v>
      </c>
      <c r="I303" s="5">
        <f>I291*I94/I100</f>
        <v>6.478722080717381</v>
      </c>
      <c r="J303" s="5">
        <f>J291*J94/J100</f>
        <v>2.450801794686981</v>
      </c>
      <c r="K303" s="5">
        <f>K291*K94/K100</f>
        <v>1.6674519562400012</v>
      </c>
      <c r="L303" s="5">
        <f>L291*L94/L100</f>
        <v>3.4316500185125327</v>
      </c>
      <c r="M303" s="5">
        <f>M291*M94/M100</f>
        <v>-2.892728650977511</v>
      </c>
      <c r="N303" s="5">
        <f>N291*N94/N100</f>
        <v>-6.804948952625531</v>
      </c>
      <c r="O303" s="5">
        <f>O291*O94/O100</f>
        <v>-1.5077918515458952</v>
      </c>
      <c r="P303" s="5">
        <f>P291*P94/P100</f>
        <v>0.8715078717715984</v>
      </c>
      <c r="Q303" s="5">
        <f>Q291*Q94/Q100</f>
        <v>0.9488448210545883</v>
      </c>
      <c r="R303" s="5">
        <f>R291*R94/R100</f>
        <v>5.4136004502509865</v>
      </c>
      <c r="S303" s="5">
        <f>S291*S94/S100</f>
        <v>6.989768251763224</v>
      </c>
      <c r="T303" s="5">
        <f>T291*T94/T100</f>
        <v>1.864374406942721</v>
      </c>
      <c r="U303" s="5">
        <f>U291*U94/U100</f>
        <v>-3.597697698642397</v>
      </c>
      <c r="V303" s="5">
        <f>V291*V94/V100</f>
        <v>-3.392504010729335</v>
      </c>
      <c r="W303" s="5">
        <f>W291*W94/W100</f>
        <v>-1.8802151229921493</v>
      </c>
      <c r="X303" s="5">
        <f>X291*X94/X100</f>
        <v>-5.564139804995273</v>
      </c>
      <c r="Y303" s="5">
        <f>Y291*Y94/Y100</f>
        <v>-7.443714674138043</v>
      </c>
      <c r="Z303" s="5">
        <f>Z291*Z94/Z100</f>
        <v>-5.837583694309119</v>
      </c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  <c r="CW303" s="108"/>
      <c r="CX303" s="108"/>
      <c r="CY303" s="108"/>
      <c r="CZ303" s="108"/>
      <c r="DA303" s="108"/>
      <c r="DB303" s="108"/>
      <c r="DC303" s="108"/>
      <c r="DD303" s="108"/>
      <c r="DE303" s="108"/>
      <c r="DF303" s="108"/>
      <c r="DG303" s="108"/>
      <c r="DH303" s="108"/>
      <c r="DI303" s="108"/>
      <c r="DJ303" s="108"/>
      <c r="DK303" s="108"/>
      <c r="DL303" s="108"/>
      <c r="DM303" s="108"/>
      <c r="DN303" s="108"/>
      <c r="DO303" s="108"/>
      <c r="DP303" s="108"/>
      <c r="DQ303" s="108"/>
      <c r="DR303" s="108"/>
      <c r="DS303" s="108"/>
      <c r="DT303" s="108"/>
      <c r="DU303" s="108"/>
      <c r="DV303" s="108"/>
      <c r="DW303" s="108"/>
      <c r="DX303" s="108"/>
      <c r="DY303" s="108"/>
      <c r="DZ303" s="108"/>
      <c r="EA303" s="108"/>
      <c r="EB303" s="108"/>
      <c r="EC303" s="108"/>
      <c r="ED303" s="108"/>
      <c r="EE303" s="108"/>
      <c r="EF303" s="108"/>
      <c r="EG303" s="108"/>
      <c r="EH303" s="108"/>
      <c r="EI303" s="108"/>
      <c r="EJ303" s="108"/>
      <c r="EK303" s="108"/>
      <c r="EL303" s="108"/>
      <c r="EM303" s="108"/>
      <c r="EN303" s="108"/>
      <c r="EO303" s="108"/>
      <c r="EP303" s="108"/>
      <c r="EQ303" s="108"/>
      <c r="ER303" s="108"/>
      <c r="ES303" s="108"/>
      <c r="ET303" s="108"/>
      <c r="EU303" s="108"/>
      <c r="EV303" s="108"/>
      <c r="EW303" s="108"/>
      <c r="EX303" s="108"/>
      <c r="EY303" s="108"/>
      <c r="EZ303" s="108"/>
      <c r="FA303" s="108"/>
      <c r="FB303" s="108"/>
      <c r="FC303" s="108"/>
      <c r="FD303" s="108"/>
      <c r="FE303" s="108"/>
      <c r="FF303" s="108"/>
      <c r="FG303" s="108"/>
      <c r="FH303" s="108"/>
      <c r="FI303" s="108"/>
      <c r="FJ303" s="108"/>
      <c r="FK303" s="108"/>
      <c r="FL303" s="108"/>
      <c r="FM303" s="108"/>
      <c r="FN303" s="108"/>
      <c r="FO303" s="108"/>
      <c r="FP303" s="108"/>
      <c r="FQ303" s="108"/>
      <c r="FR303" s="108"/>
      <c r="FS303" s="108"/>
      <c r="FT303" s="108"/>
      <c r="FU303" s="108"/>
      <c r="FV303" s="108"/>
      <c r="FW303" s="108"/>
      <c r="FX303" s="108"/>
      <c r="FY303" s="108"/>
      <c r="FZ303" s="108"/>
      <c r="GA303" s="108"/>
      <c r="GB303" s="108"/>
      <c r="GC303" s="108"/>
      <c r="GD303" s="108"/>
      <c r="GE303" s="108"/>
      <c r="GF303" s="108"/>
      <c r="GG303" s="108"/>
      <c r="GH303" s="108"/>
      <c r="GI303" s="108"/>
      <c r="GJ303" s="108"/>
      <c r="GK303" s="108"/>
      <c r="GL303" s="108"/>
      <c r="GM303" s="108"/>
      <c r="GN303" s="108"/>
      <c r="GO303" s="108"/>
      <c r="GP303" s="108"/>
      <c r="GQ303" s="108"/>
      <c r="GR303" s="108"/>
      <c r="GS303" s="108"/>
      <c r="GT303" s="108"/>
      <c r="GU303" s="108"/>
      <c r="GV303" s="108"/>
      <c r="GW303" s="108"/>
      <c r="GX303" s="108"/>
      <c r="GY303" s="108"/>
      <c r="GZ303" s="108"/>
      <c r="HA303" s="108"/>
      <c r="HB303" s="108"/>
      <c r="HC303" s="108"/>
      <c r="HD303" s="108"/>
      <c r="HE303" s="108"/>
      <c r="HF303" s="108"/>
      <c r="HG303" s="108"/>
      <c r="HH303" s="108"/>
      <c r="HI303" s="108"/>
      <c r="HJ303" s="108"/>
      <c r="HK303" s="108"/>
      <c r="HL303" s="108"/>
      <c r="HM303" s="108"/>
      <c r="HN303" s="108"/>
      <c r="HO303" s="108"/>
      <c r="HP303" s="108"/>
      <c r="HQ303" s="108"/>
      <c r="HR303" s="108"/>
      <c r="HS303" s="108"/>
      <c r="HT303" s="108"/>
      <c r="HU303" s="108"/>
      <c r="HV303" s="108"/>
      <c r="HW303" s="108"/>
      <c r="HX303" s="108"/>
      <c r="HY303" s="108"/>
      <c r="HZ303" s="108"/>
      <c r="IA303" s="108"/>
      <c r="IB303" s="108"/>
      <c r="IC303" s="108"/>
      <c r="ID303" s="108"/>
      <c r="IE303" s="108"/>
      <c r="IF303" s="108"/>
      <c r="IG303" s="108"/>
      <c r="IH303" s="108"/>
      <c r="II303" s="108"/>
      <c r="IJ303" s="108"/>
      <c r="IK303" s="108"/>
      <c r="IL303" s="108"/>
      <c r="IM303" s="108"/>
      <c r="IN303" s="108"/>
      <c r="IO303" s="108"/>
      <c r="IP303" s="108"/>
      <c r="IQ303" s="108"/>
      <c r="IR303" s="108"/>
      <c r="IS303" s="108"/>
      <c r="IT303" s="108"/>
      <c r="IU303" s="108"/>
      <c r="IV303" s="108"/>
    </row>
    <row r="304" spans="1:256" ht="12.75">
      <c r="A304" t="s">
        <v>264</v>
      </c>
      <c r="B304" s="5">
        <f>B292*B95/B101</f>
        <v>8.272442094118087</v>
      </c>
      <c r="C304" s="5">
        <f>C292*C95/C101</f>
        <v>24.297467234110233</v>
      </c>
      <c r="D304" s="5">
        <f>D292*D95/D101</f>
        <v>-66.30151754789517</v>
      </c>
      <c r="E304" s="5">
        <f>E292*E95/E101</f>
        <v>-25.327011839278207</v>
      </c>
      <c r="F304" s="5">
        <f>F292*F95/F101</f>
        <v>-27.761428662665892</v>
      </c>
      <c r="G304" s="5">
        <f>G292*G95/G101</f>
        <v>-80.55898774463378</v>
      </c>
      <c r="H304" s="5">
        <f>H292*H95/H101</f>
        <v>39.9258660721312</v>
      </c>
      <c r="I304" s="5">
        <f>I292*I95/I101</f>
        <v>14.51407231744528</v>
      </c>
      <c r="J304" s="5">
        <f>J292*J95/J101</f>
        <v>8.452443582470874</v>
      </c>
      <c r="K304" s="5">
        <f>K292*K95/K101</f>
        <v>6.030830320737881</v>
      </c>
      <c r="L304" s="5">
        <f>L292*L95/L101</f>
        <v>4.836094290741658</v>
      </c>
      <c r="M304" s="5">
        <f>M292*M95/M101</f>
        <v>4.040292220413697</v>
      </c>
      <c r="N304" s="5">
        <f>N292*N95/N101</f>
        <v>3.5898299222775965</v>
      </c>
      <c r="O304" s="5">
        <f>O292*O95/O101</f>
        <v>3.412462634598044</v>
      </c>
      <c r="P304" s="5">
        <f>P292*P95/P101</f>
        <v>3.293390136139669</v>
      </c>
      <c r="Q304" s="5">
        <f>Q292*Q95/Q101</f>
        <v>3.213201688736929</v>
      </c>
      <c r="R304" s="5">
        <f>R292*R95/R101</f>
        <v>3.2044639141820617</v>
      </c>
      <c r="S304" s="5">
        <f>S292*S95/S101</f>
        <v>3.1892982537569563</v>
      </c>
      <c r="T304" s="5">
        <f>T292*T95/T101</f>
        <v>3.1313609467218066</v>
      </c>
      <c r="U304" s="5">
        <f>U292*U95/U101</f>
        <v>3.0749491171149326</v>
      </c>
      <c r="V304" s="5">
        <f>V292*V95/V101</f>
        <v>3.0828788274039605</v>
      </c>
      <c r="W304" s="5">
        <f>W292*W95/W101</f>
        <v>3.191712684451136</v>
      </c>
      <c r="X304" s="5">
        <f>X292*X95/X101</f>
        <v>3.5138834461929065</v>
      </c>
      <c r="Y304" s="5">
        <f>Y292*Y95/Y101</f>
        <v>4.579864859206992</v>
      </c>
      <c r="Z304" s="5">
        <f>Z292*Z95/Z101</f>
        <v>7.938682448271586</v>
      </c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08"/>
      <c r="CY304" s="108"/>
      <c r="CZ304" s="108"/>
      <c r="DA304" s="108"/>
      <c r="DB304" s="108"/>
      <c r="DC304" s="108"/>
      <c r="DD304" s="108"/>
      <c r="DE304" s="108"/>
      <c r="DF304" s="108"/>
      <c r="DG304" s="108"/>
      <c r="DH304" s="108"/>
      <c r="DI304" s="108"/>
      <c r="DJ304" s="108"/>
      <c r="DK304" s="108"/>
      <c r="DL304" s="108"/>
      <c r="DM304" s="108"/>
      <c r="DN304" s="108"/>
      <c r="DO304" s="108"/>
      <c r="DP304" s="108"/>
      <c r="DQ304" s="108"/>
      <c r="DR304" s="108"/>
      <c r="DS304" s="108"/>
      <c r="DT304" s="108"/>
      <c r="DU304" s="108"/>
      <c r="DV304" s="108"/>
      <c r="DW304" s="108"/>
      <c r="DX304" s="108"/>
      <c r="DY304" s="108"/>
      <c r="DZ304" s="108"/>
      <c r="EA304" s="108"/>
      <c r="EB304" s="108"/>
      <c r="EC304" s="108"/>
      <c r="ED304" s="108"/>
      <c r="EE304" s="108"/>
      <c r="EF304" s="108"/>
      <c r="EG304" s="108"/>
      <c r="EH304" s="108"/>
      <c r="EI304" s="108"/>
      <c r="EJ304" s="108"/>
      <c r="EK304" s="108"/>
      <c r="EL304" s="108"/>
      <c r="EM304" s="108"/>
      <c r="EN304" s="108"/>
      <c r="EO304" s="108"/>
      <c r="EP304" s="108"/>
      <c r="EQ304" s="108"/>
      <c r="ER304" s="108"/>
      <c r="ES304" s="108"/>
      <c r="ET304" s="108"/>
      <c r="EU304" s="108"/>
      <c r="EV304" s="108"/>
      <c r="EW304" s="108"/>
      <c r="EX304" s="108"/>
      <c r="EY304" s="108"/>
      <c r="EZ304" s="108"/>
      <c r="FA304" s="108"/>
      <c r="FB304" s="108"/>
      <c r="FC304" s="108"/>
      <c r="FD304" s="108"/>
      <c r="FE304" s="108"/>
      <c r="FF304" s="108"/>
      <c r="FG304" s="108"/>
      <c r="FH304" s="108"/>
      <c r="FI304" s="108"/>
      <c r="FJ304" s="108"/>
      <c r="FK304" s="108"/>
      <c r="FL304" s="108"/>
      <c r="FM304" s="108"/>
      <c r="FN304" s="108"/>
      <c r="FO304" s="108"/>
      <c r="FP304" s="108"/>
      <c r="FQ304" s="108"/>
      <c r="FR304" s="108"/>
      <c r="FS304" s="108"/>
      <c r="FT304" s="108"/>
      <c r="FU304" s="108"/>
      <c r="FV304" s="108"/>
      <c r="FW304" s="108"/>
      <c r="FX304" s="108"/>
      <c r="FY304" s="108"/>
      <c r="FZ304" s="108"/>
      <c r="GA304" s="108"/>
      <c r="GB304" s="108"/>
      <c r="GC304" s="108"/>
      <c r="GD304" s="108"/>
      <c r="GE304" s="108"/>
      <c r="GF304" s="108"/>
      <c r="GG304" s="108"/>
      <c r="GH304" s="108"/>
      <c r="GI304" s="108"/>
      <c r="GJ304" s="108"/>
      <c r="GK304" s="108"/>
      <c r="GL304" s="108"/>
      <c r="GM304" s="108"/>
      <c r="GN304" s="108"/>
      <c r="GO304" s="108"/>
      <c r="GP304" s="108"/>
      <c r="GQ304" s="108"/>
      <c r="GR304" s="108"/>
      <c r="GS304" s="108"/>
      <c r="GT304" s="108"/>
      <c r="GU304" s="108"/>
      <c r="GV304" s="108"/>
      <c r="GW304" s="108"/>
      <c r="GX304" s="108"/>
      <c r="GY304" s="108"/>
      <c r="GZ304" s="108"/>
      <c r="HA304" s="108"/>
      <c r="HB304" s="108"/>
      <c r="HC304" s="108"/>
      <c r="HD304" s="108"/>
      <c r="HE304" s="108"/>
      <c r="HF304" s="108"/>
      <c r="HG304" s="108"/>
      <c r="HH304" s="108"/>
      <c r="HI304" s="108"/>
      <c r="HJ304" s="108"/>
      <c r="HK304" s="108"/>
      <c r="HL304" s="108"/>
      <c r="HM304" s="108"/>
      <c r="HN304" s="108"/>
      <c r="HO304" s="108"/>
      <c r="HP304" s="108"/>
      <c r="HQ304" s="108"/>
      <c r="HR304" s="108"/>
      <c r="HS304" s="108"/>
      <c r="HT304" s="108"/>
      <c r="HU304" s="108"/>
      <c r="HV304" s="108"/>
      <c r="HW304" s="108"/>
      <c r="HX304" s="108"/>
      <c r="HY304" s="108"/>
      <c r="HZ304" s="108"/>
      <c r="IA304" s="108"/>
      <c r="IB304" s="108"/>
      <c r="IC304" s="108"/>
      <c r="ID304" s="108"/>
      <c r="IE304" s="108"/>
      <c r="IF304" s="108"/>
      <c r="IG304" s="108"/>
      <c r="IH304" s="108"/>
      <c r="II304" s="108"/>
      <c r="IJ304" s="108"/>
      <c r="IK304" s="108"/>
      <c r="IL304" s="108"/>
      <c r="IM304" s="108"/>
      <c r="IN304" s="108"/>
      <c r="IO304" s="108"/>
      <c r="IP304" s="108"/>
      <c r="IQ304" s="108"/>
      <c r="IR304" s="108"/>
      <c r="IS304" s="108"/>
      <c r="IT304" s="108"/>
      <c r="IU304" s="108"/>
      <c r="IV304" s="108"/>
    </row>
    <row r="305" spans="1:256" ht="12.75">
      <c r="A305" t="s">
        <v>265</v>
      </c>
      <c r="B305" s="19">
        <f>B293</f>
        <v>10.320724427267299</v>
      </c>
      <c r="C305" s="5">
        <f>C293</f>
        <v>7.896190443387447</v>
      </c>
      <c r="D305" s="5">
        <f>D293</f>
        <v>6.520295129692294</v>
      </c>
      <c r="E305" s="5">
        <f>E293</f>
        <v>6.48780629057932</v>
      </c>
      <c r="F305" s="5">
        <f>F293</f>
        <v>7.449875279610445</v>
      </c>
      <c r="G305" s="5">
        <f>G293</f>
        <v>8.850735699598115</v>
      </c>
      <c r="H305" s="5">
        <f>H293</f>
        <v>10.372935616667931</v>
      </c>
      <c r="I305" s="5">
        <f>I293</f>
        <v>11.896685647653909</v>
      </c>
      <c r="J305" s="5">
        <f>J293</f>
        <v>13.373437107263188</v>
      </c>
      <c r="K305" s="5">
        <f>K293</f>
        <v>14.769401846029329</v>
      </c>
      <c r="L305" s="5">
        <f>L293</f>
        <v>16.05478545012793</v>
      </c>
      <c r="M305" s="5">
        <f>M293</f>
        <v>17.205729874190624</v>
      </c>
      <c r="N305" s="5">
        <f>N293</f>
        <v>18.206315255411297</v>
      </c>
      <c r="O305" s="5">
        <f>O293</f>
        <v>19.048625857887167</v>
      </c>
      <c r="P305" s="5">
        <f>P293</f>
        <v>19.73158757849221</v>
      </c>
      <c r="Q305" s="5">
        <f>Q293</f>
        <v>20.258925117661995</v>
      </c>
      <c r="R305" s="5">
        <f>R293</f>
        <v>20.635620899466602</v>
      </c>
      <c r="S305" s="5">
        <f>S293</f>
        <v>20.861120720393593</v>
      </c>
      <c r="T305" s="5">
        <f>T293</f>
        <v>20.915451391146053</v>
      </c>
      <c r="U305" s="5">
        <f>U293</f>
        <v>20.731168065885527</v>
      </c>
      <c r="V305" s="5">
        <f>V293</f>
        <v>20.1454932772637</v>
      </c>
      <c r="W305" s="5">
        <f>W293</f>
        <v>18.861188849139747</v>
      </c>
      <c r="X305" s="5">
        <f>X293</f>
        <v>16.567417572987306</v>
      </c>
      <c r="Y305" s="5">
        <f>Y293</f>
        <v>13.428624591345683</v>
      </c>
      <c r="Z305" s="5">
        <f>Z293</f>
        <v>10.320724427267296</v>
      </c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08"/>
      <c r="CY305" s="108"/>
      <c r="CZ305" s="108"/>
      <c r="DA305" s="108"/>
      <c r="DB305" s="108"/>
      <c r="DC305" s="108"/>
      <c r="DD305" s="108"/>
      <c r="DE305" s="108"/>
      <c r="DF305" s="108"/>
      <c r="DG305" s="108"/>
      <c r="DH305" s="108"/>
      <c r="DI305" s="108"/>
      <c r="DJ305" s="108"/>
      <c r="DK305" s="108"/>
      <c r="DL305" s="108"/>
      <c r="DM305" s="108"/>
      <c r="DN305" s="108"/>
      <c r="DO305" s="108"/>
      <c r="DP305" s="108"/>
      <c r="DQ305" s="108"/>
      <c r="DR305" s="108"/>
      <c r="DS305" s="108"/>
      <c r="DT305" s="108"/>
      <c r="DU305" s="108"/>
      <c r="DV305" s="108"/>
      <c r="DW305" s="108"/>
      <c r="DX305" s="108"/>
      <c r="DY305" s="108"/>
      <c r="DZ305" s="108"/>
      <c r="EA305" s="108"/>
      <c r="EB305" s="108"/>
      <c r="EC305" s="108"/>
      <c r="ED305" s="108"/>
      <c r="EE305" s="108"/>
      <c r="EF305" s="108"/>
      <c r="EG305" s="108"/>
      <c r="EH305" s="108"/>
      <c r="EI305" s="108"/>
      <c r="EJ305" s="108"/>
      <c r="EK305" s="108"/>
      <c r="EL305" s="108"/>
      <c r="EM305" s="108"/>
      <c r="EN305" s="108"/>
      <c r="EO305" s="108"/>
      <c r="EP305" s="108"/>
      <c r="EQ305" s="108"/>
      <c r="ER305" s="108"/>
      <c r="ES305" s="108"/>
      <c r="ET305" s="108"/>
      <c r="EU305" s="108"/>
      <c r="EV305" s="108"/>
      <c r="EW305" s="108"/>
      <c r="EX305" s="108"/>
      <c r="EY305" s="108"/>
      <c r="EZ305" s="108"/>
      <c r="FA305" s="108"/>
      <c r="FB305" s="108"/>
      <c r="FC305" s="108"/>
      <c r="FD305" s="108"/>
      <c r="FE305" s="108"/>
      <c r="FF305" s="108"/>
      <c r="FG305" s="108"/>
      <c r="FH305" s="108"/>
      <c r="FI305" s="108"/>
      <c r="FJ305" s="108"/>
      <c r="FK305" s="108"/>
      <c r="FL305" s="108"/>
      <c r="FM305" s="108"/>
      <c r="FN305" s="108"/>
      <c r="FO305" s="108"/>
      <c r="FP305" s="108"/>
      <c r="FQ305" s="108"/>
      <c r="FR305" s="108"/>
      <c r="FS305" s="108"/>
      <c r="FT305" s="108"/>
      <c r="FU305" s="108"/>
      <c r="FV305" s="108"/>
      <c r="FW305" s="108"/>
      <c r="FX305" s="108"/>
      <c r="FY305" s="108"/>
      <c r="FZ305" s="108"/>
      <c r="GA305" s="108"/>
      <c r="GB305" s="108"/>
      <c r="GC305" s="108"/>
      <c r="GD305" s="108"/>
      <c r="GE305" s="108"/>
      <c r="GF305" s="108"/>
      <c r="GG305" s="108"/>
      <c r="GH305" s="108"/>
      <c r="GI305" s="108"/>
      <c r="GJ305" s="108"/>
      <c r="GK305" s="108"/>
      <c r="GL305" s="108"/>
      <c r="GM305" s="108"/>
      <c r="GN305" s="108"/>
      <c r="GO305" s="108"/>
      <c r="GP305" s="108"/>
      <c r="GQ305" s="108"/>
      <c r="GR305" s="108"/>
      <c r="GS305" s="108"/>
      <c r="GT305" s="108"/>
      <c r="GU305" s="108"/>
      <c r="GV305" s="108"/>
      <c r="GW305" s="108"/>
      <c r="GX305" s="108"/>
      <c r="GY305" s="108"/>
      <c r="GZ305" s="108"/>
      <c r="HA305" s="108"/>
      <c r="HB305" s="108"/>
      <c r="HC305" s="108"/>
      <c r="HD305" s="108"/>
      <c r="HE305" s="108"/>
      <c r="HF305" s="108"/>
      <c r="HG305" s="108"/>
      <c r="HH305" s="108"/>
      <c r="HI305" s="108"/>
      <c r="HJ305" s="108"/>
      <c r="HK305" s="108"/>
      <c r="HL305" s="108"/>
      <c r="HM305" s="108"/>
      <c r="HN305" s="108"/>
      <c r="HO305" s="108"/>
      <c r="HP305" s="108"/>
      <c r="HQ305" s="108"/>
      <c r="HR305" s="108"/>
      <c r="HS305" s="108"/>
      <c r="HT305" s="108"/>
      <c r="HU305" s="108"/>
      <c r="HV305" s="108"/>
      <c r="HW305" s="108"/>
      <c r="HX305" s="108"/>
      <c r="HY305" s="108"/>
      <c r="HZ305" s="108"/>
      <c r="IA305" s="108"/>
      <c r="IB305" s="108"/>
      <c r="IC305" s="108"/>
      <c r="ID305" s="108"/>
      <c r="IE305" s="108"/>
      <c r="IF305" s="108"/>
      <c r="IG305" s="108"/>
      <c r="IH305" s="108"/>
      <c r="II305" s="108"/>
      <c r="IJ305" s="108"/>
      <c r="IK305" s="108"/>
      <c r="IL305" s="108"/>
      <c r="IM305" s="108"/>
      <c r="IN305" s="108"/>
      <c r="IO305" s="108"/>
      <c r="IP305" s="108"/>
      <c r="IQ305" s="108"/>
      <c r="IR305" s="108"/>
      <c r="IS305" s="108"/>
      <c r="IT305" s="108"/>
      <c r="IU305" s="108"/>
      <c r="IV305" s="108"/>
    </row>
    <row r="306" spans="1:256" ht="12.75">
      <c r="A306" t="s">
        <v>322</v>
      </c>
      <c r="B306" s="19">
        <f>B303*B100+B304*B101+B305*B39-B267-B244-B245-B252-B253</f>
        <v>0</v>
      </c>
      <c r="C306" s="19">
        <f>C303*C100+C304*C101+C305*C39-C267-C244-C245-C252-C253</f>
        <v>0</v>
      </c>
      <c r="D306" s="19">
        <f>D303*D100+D304*D101+D305*D39-D267-D244-D245-D252-D253</f>
        <v>0</v>
      </c>
      <c r="E306" s="19">
        <f>E303*E100+E304*E101+E305*E39-E267-E244-E245-E252-E253</f>
        <v>0</v>
      </c>
      <c r="F306" s="19">
        <f>F303*F100+F304*F101+F305*F39-F267-F244-F245-F252-F253</f>
        <v>0</v>
      </c>
      <c r="G306" s="19">
        <f>G303*G100+G304*G101+G305*G39-G267-G244-G245-G252-G253</f>
        <v>0</v>
      </c>
      <c r="H306" s="19">
        <f>H303*H100+H304*H101+H305*H39-H267-H244-H245-H252-H253</f>
        <v>0</v>
      </c>
      <c r="I306" s="19">
        <f>I303*I100+I304*I101+I305*I39-I267-I244-I245-I252-I253</f>
        <v>0</v>
      </c>
      <c r="J306" s="19">
        <f>J303*J100+J304*J101+J305*J39-J267-J244-J245-J252-J253</f>
        <v>0</v>
      </c>
      <c r="K306" s="19">
        <f>K303*K100+K304*K101+K305*K39-K267-K244-K245-K252-K253</f>
        <v>0</v>
      </c>
      <c r="L306" s="19">
        <f>L303*L100+L304*L101+L305*L39-L267-L244-L245-L252-L253</f>
        <v>0</v>
      </c>
      <c r="M306" s="19">
        <f>M303*M100+M304*M101+M305*M39-M267-M244-M245-M252-M253</f>
        <v>0</v>
      </c>
      <c r="N306" s="19">
        <f>N303*N100+N304*N101+N305*N39-N267-N244-N245-N252-N253</f>
        <v>0</v>
      </c>
      <c r="O306" s="19">
        <f>O303*O100+O304*O101+O305*O39-O267-O244-O245-O252-O253</f>
        <v>0</v>
      </c>
      <c r="P306" s="19">
        <f>P303*P100+P304*P101+P305*P39-P267-P244-P245-P252-P253</f>
        <v>0</v>
      </c>
      <c r="Q306" s="19">
        <f>Q303*Q100+Q304*Q101+Q305*Q39-Q267-Q244-Q245-Q252-Q253</f>
        <v>0</v>
      </c>
      <c r="R306" s="19">
        <f>R303*R100+R304*R101+R305*R39-R267-R244-R245-R252-R253</f>
        <v>0</v>
      </c>
      <c r="S306" s="19">
        <f>S303*S100+S304*S101+S305*S39-S267-S244-S245-S252-S253</f>
        <v>0</v>
      </c>
      <c r="T306" s="19">
        <f>T303*T100+T304*T101+T305*T39-T267-T244-T245-T252-T253</f>
        <v>0</v>
      </c>
      <c r="U306" s="19">
        <f>U303*U100+U304*U101+U305*U39-U267-U244-U245-U252-U253</f>
        <v>0</v>
      </c>
      <c r="V306" s="19">
        <f>V303*V100+V304*V101+V305*V39-V267-V244-V245-V252-V253</f>
        <v>0</v>
      </c>
      <c r="W306" s="19">
        <f>W303*W100+W304*W101+W305*W39-W267-W244-W245-W252-W253</f>
        <v>0</v>
      </c>
      <c r="X306" s="19">
        <f>X303*X100+X304*X101+X305*X39-X267-X244-X245-X252-X253</f>
        <v>0</v>
      </c>
      <c r="Y306" s="19">
        <f>Y303*Y100+Y304*Y101+Y305*Y39-Y267-Y244-Y245-Y252-Y253</f>
        <v>0</v>
      </c>
      <c r="Z306" s="19">
        <f>Z303*Z100+Z304*Z101+Z305*Z39-Z267-Z244-Z245-Z252-Z253</f>
        <v>0</v>
      </c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W306" s="108"/>
      <c r="CX306" s="108"/>
      <c r="CY306" s="108"/>
      <c r="CZ306" s="108"/>
      <c r="DA306" s="108"/>
      <c r="DB306" s="108"/>
      <c r="DC306" s="108"/>
      <c r="DD306" s="108"/>
      <c r="DE306" s="108"/>
      <c r="DF306" s="108"/>
      <c r="DG306" s="108"/>
      <c r="DH306" s="108"/>
      <c r="DI306" s="108"/>
      <c r="DJ306" s="108"/>
      <c r="DK306" s="108"/>
      <c r="DL306" s="108"/>
      <c r="DM306" s="108"/>
      <c r="DN306" s="108"/>
      <c r="DO306" s="108"/>
      <c r="DP306" s="108"/>
      <c r="DQ306" s="108"/>
      <c r="DR306" s="108"/>
      <c r="DS306" s="108"/>
      <c r="DT306" s="108"/>
      <c r="DU306" s="108"/>
      <c r="DV306" s="108"/>
      <c r="DW306" s="108"/>
      <c r="DX306" s="108"/>
      <c r="DY306" s="108"/>
      <c r="DZ306" s="108"/>
      <c r="EA306" s="108"/>
      <c r="EB306" s="108"/>
      <c r="EC306" s="108"/>
      <c r="ED306" s="108"/>
      <c r="EE306" s="108"/>
      <c r="EF306" s="108"/>
      <c r="EG306" s="108"/>
      <c r="EH306" s="108"/>
      <c r="EI306" s="108"/>
      <c r="EJ306" s="108"/>
      <c r="EK306" s="108"/>
      <c r="EL306" s="108"/>
      <c r="EM306" s="108"/>
      <c r="EN306" s="108"/>
      <c r="EO306" s="108"/>
      <c r="EP306" s="108"/>
      <c r="EQ306" s="108"/>
      <c r="ER306" s="108"/>
      <c r="ES306" s="108"/>
      <c r="ET306" s="108"/>
      <c r="EU306" s="108"/>
      <c r="EV306" s="108"/>
      <c r="EW306" s="108"/>
      <c r="EX306" s="108"/>
      <c r="EY306" s="108"/>
      <c r="EZ306" s="108"/>
      <c r="FA306" s="108"/>
      <c r="FB306" s="108"/>
      <c r="FC306" s="108"/>
      <c r="FD306" s="108"/>
      <c r="FE306" s="108"/>
      <c r="FF306" s="108"/>
      <c r="FG306" s="108"/>
      <c r="FH306" s="108"/>
      <c r="FI306" s="108"/>
      <c r="FJ306" s="108"/>
      <c r="FK306" s="108"/>
      <c r="FL306" s="108"/>
      <c r="FM306" s="108"/>
      <c r="FN306" s="108"/>
      <c r="FO306" s="108"/>
      <c r="FP306" s="108"/>
      <c r="FQ306" s="108"/>
      <c r="FR306" s="108"/>
      <c r="FS306" s="108"/>
      <c r="FT306" s="108"/>
      <c r="FU306" s="108"/>
      <c r="FV306" s="108"/>
      <c r="FW306" s="108"/>
      <c r="FX306" s="108"/>
      <c r="FY306" s="108"/>
      <c r="FZ306" s="108"/>
      <c r="GA306" s="108"/>
      <c r="GB306" s="108"/>
      <c r="GC306" s="108"/>
      <c r="GD306" s="108"/>
      <c r="GE306" s="108"/>
      <c r="GF306" s="108"/>
      <c r="GG306" s="108"/>
      <c r="GH306" s="108"/>
      <c r="GI306" s="108"/>
      <c r="GJ306" s="108"/>
      <c r="GK306" s="108"/>
      <c r="GL306" s="108"/>
      <c r="GM306" s="108"/>
      <c r="GN306" s="108"/>
      <c r="GO306" s="108"/>
      <c r="GP306" s="108"/>
      <c r="GQ306" s="108"/>
      <c r="GR306" s="108"/>
      <c r="GS306" s="108"/>
      <c r="GT306" s="108"/>
      <c r="GU306" s="108"/>
      <c r="GV306" s="108"/>
      <c r="GW306" s="108"/>
      <c r="GX306" s="108"/>
      <c r="GY306" s="108"/>
      <c r="GZ306" s="108"/>
      <c r="HA306" s="108"/>
      <c r="HB306" s="108"/>
      <c r="HC306" s="108"/>
      <c r="HD306" s="108"/>
      <c r="HE306" s="108"/>
      <c r="HF306" s="108"/>
      <c r="HG306" s="108"/>
      <c r="HH306" s="108"/>
      <c r="HI306" s="108"/>
      <c r="HJ306" s="108"/>
      <c r="HK306" s="108"/>
      <c r="HL306" s="108"/>
      <c r="HM306" s="108"/>
      <c r="HN306" s="108"/>
      <c r="HO306" s="108"/>
      <c r="HP306" s="108"/>
      <c r="HQ306" s="108"/>
      <c r="HR306" s="108"/>
      <c r="HS306" s="108"/>
      <c r="HT306" s="108"/>
      <c r="HU306" s="108"/>
      <c r="HV306" s="108"/>
      <c r="HW306" s="108"/>
      <c r="HX306" s="108"/>
      <c r="HY306" s="108"/>
      <c r="HZ306" s="108"/>
      <c r="IA306" s="108"/>
      <c r="IB306" s="108"/>
      <c r="IC306" s="108"/>
      <c r="ID306" s="108"/>
      <c r="IE306" s="108"/>
      <c r="IF306" s="108"/>
      <c r="IG306" s="108"/>
      <c r="IH306" s="108"/>
      <c r="II306" s="108"/>
      <c r="IJ306" s="108"/>
      <c r="IK306" s="108"/>
      <c r="IL306" s="108"/>
      <c r="IM306" s="108"/>
      <c r="IN306" s="108"/>
      <c r="IO306" s="108"/>
      <c r="IP306" s="108"/>
      <c r="IQ306" s="108"/>
      <c r="IR306" s="108"/>
      <c r="IS306" s="108"/>
      <c r="IT306" s="108"/>
      <c r="IU306" s="108"/>
      <c r="IV306" s="108"/>
    </row>
    <row r="307" spans="1:2" ht="12.75">
      <c r="A307" t="s">
        <v>321</v>
      </c>
      <c r="B307">
        <f>O5*S5</f>
        <v>10</v>
      </c>
    </row>
    <row r="308" spans="1:256" ht="12.75">
      <c r="A308" t="s">
        <v>266</v>
      </c>
      <c r="B308" s="6">
        <f>B217*(B154-$D$4)/(B56-$D$4)+B296*(B65-$D$4)/(B56-$D$4)+B209*(B147-$D$4)/(B56-$D$4)+B303*(B91-$D$4)/(B56-$D$4)</f>
        <v>1.658751985066489</v>
      </c>
      <c r="C308" s="6">
        <f>C217*(C154-$D$4)/(C56-$D$4)+C296*(C65-$D$4)/(C56-$D$4)+C209*(C147-$D$4)/(C56-$D$4)+C303*(C91-$D$4)/(C56-$D$4)</f>
        <v>-1.1541313592564602</v>
      </c>
      <c r="D308" s="6">
        <f>D217*(D154-$D$4)/(D56-$D$4)+D296*(D65-$D$4)/(D56-$D$4)+D209*(D147-$D$4)/(D56-$D$4)+D303*(D91-$D$4)/(D56-$D$4)</f>
        <v>-3.4942776670801585</v>
      </c>
      <c r="E308" s="6">
        <f>E217*(E154-$D$4)/(E56-$D$4)+E296*(E65-$D$4)/(E56-$D$4)+E209*(E147-$D$4)/(E56-$D$4)+E303*(E91-$D$4)/(E56-$D$4)</f>
        <v>-1.5430679363469513</v>
      </c>
      <c r="F308" s="6">
        <f>F217*(F154-$D$4)/(F56-$D$4)+F296*(F65-$D$4)/(F56-$D$4)+F209*(F147-$D$4)/(F56-$D$4)+F303*(F91-$D$4)/(F56-$D$4)</f>
        <v>-0.5260379323900717</v>
      </c>
      <c r="G308" s="6">
        <f>G217*(G154-$D$4)/(G56-$D$4)+G296*(G65-$D$4)/(G56-$D$4)+G209*(G147-$D$4)/(G56-$D$4)+G303*(G91-$D$4)/(G56-$D$4)</f>
        <v>-1.55770507054087</v>
      </c>
      <c r="H308" s="6">
        <f>H217*(H154-$D$4)/(H56-$D$4)+H296*(H65-$D$4)/(H56-$D$4)+H209*(H147-$D$4)/(H56-$D$4)+H303*(H91-$D$4)/(H56-$D$4)</f>
        <v>0.8885422068934532</v>
      </c>
      <c r="I308" s="6">
        <f>I217*(I154-$D$4)/(I56-$D$4)+I296*(I65-$D$4)/(I56-$D$4)+I209*(I147-$D$4)/(I56-$D$4)+I303*(I91-$D$4)/(I56-$D$4)</f>
        <v>3.0499333838761453</v>
      </c>
      <c r="J308" s="6">
        <f>J217*(J154-$D$4)/(J56-$D$4)+J296*(J65-$D$4)/(J56-$D$4)+J209*(J147-$D$4)/(J56-$D$4)+J303*(J91-$D$4)/(J56-$D$4)</f>
        <v>1.1888156774436602</v>
      </c>
      <c r="K308" s="6">
        <f>K217*(K154-$D$4)/(K56-$D$4)+K296*(K65-$D$4)/(K56-$D$4)+K209*(K147-$D$4)/(K56-$D$4)+K303*(K91-$D$4)/(K56-$D$4)</f>
        <v>0.9307496351306062</v>
      </c>
      <c r="L308" s="6">
        <f>L217*(L154-$D$4)/(L56-$D$4)+L296*(L65-$D$4)/(L56-$D$4)+L209*(L147-$D$4)/(L56-$D$4)+L303*(L91-$D$4)/(L56-$D$4)</f>
        <v>1.854627851998099</v>
      </c>
      <c r="M308" s="6">
        <f>M217*(M154-$D$4)/(M56-$D$4)+M296*(M65-$D$4)/(M56-$D$4)+M209*(M147-$D$4)/(M56-$D$4)+M303*(M91-$D$4)/(M56-$D$4)</f>
        <v>-1.3009287452309006</v>
      </c>
      <c r="N308" s="6">
        <f>N217*(N154-$D$4)/(N56-$D$4)+N296*(N65-$D$4)/(N56-$D$4)+N209*(N147-$D$4)/(N56-$D$4)+N303*(N91-$D$4)/(N56-$D$4)</f>
        <v>-3.3679078921263734</v>
      </c>
      <c r="O308" s="6">
        <f>O217*(O154-$D$4)/(O56-$D$4)+O296*(O65-$D$4)/(O56-$D$4)+O209*(O147-$D$4)/(O56-$D$4)+O303*(O91-$D$4)/(O56-$D$4)</f>
        <v>-0.4992237082587769</v>
      </c>
      <c r="P308" s="6">
        <f>P217*(P154-$D$4)/(P56-$D$4)+P296*(P65-$D$4)/(P56-$D$4)+P209*(P147-$D$4)/(P56-$D$4)+P303*(P91-$D$4)/(P56-$D$4)</f>
        <v>0.9289148604950488</v>
      </c>
      <c r="Q308" s="6">
        <f>Q217*(Q154-$D$4)/(Q56-$D$4)+Q296*(Q65-$D$4)/(Q56-$D$4)+Q209*(Q147-$D$4)/(Q56-$D$4)+Q303*(Q91-$D$4)/(Q56-$D$4)</f>
        <v>0.9412710191959328</v>
      </c>
      <c r="R308" s="6">
        <f>R217*(R154-$D$4)/(R56-$D$4)+R296*(R65-$D$4)/(R56-$D$4)+R209*(R147-$D$4)/(R56-$D$4)+R303*(R91-$D$4)/(R56-$D$4)</f>
        <v>3.443560549251088</v>
      </c>
      <c r="S308" s="6">
        <f>S217*(S154-$D$4)/(S56-$D$4)+S296*(S65-$D$4)/(S56-$D$4)+S209*(S147-$D$4)/(S56-$D$4)+S303*(S91-$D$4)/(S56-$D$4)</f>
        <v>4.312644170567222</v>
      </c>
      <c r="T308" s="6">
        <f>T217*(T154-$D$4)/(T56-$D$4)+T296*(T65-$D$4)/(T56-$D$4)+T209*(T147-$D$4)/(T56-$D$4)+T303*(T91-$D$4)/(T56-$D$4)</f>
        <v>1.1819394715596399</v>
      </c>
      <c r="U308" s="6">
        <f>U217*(U154-$D$4)/(U56-$D$4)+U296*(U65-$D$4)/(U56-$D$4)+U209*(U147-$D$4)/(U56-$D$4)+U303*(U91-$D$4)/(U56-$D$4)</f>
        <v>-2.059511371181768</v>
      </c>
      <c r="V308" s="6">
        <f>V217*(V154-$D$4)/(V56-$D$4)+V296*(V65-$D$4)/(V56-$D$4)+V209*(V147-$D$4)/(V56-$D$4)+V303*(V91-$D$4)/(V56-$D$4)</f>
        <v>-1.7763269257975305</v>
      </c>
      <c r="W308" s="6">
        <f>W217*(W154-$D$4)/(W56-$D$4)+W296*(W65-$D$4)/(W56-$D$4)+W209*(W147-$D$4)/(W56-$D$4)+W303*(W91-$D$4)/(W56-$D$4)</f>
        <v>-0.6738093565485376</v>
      </c>
      <c r="X308" s="6">
        <f>X217*(X154-$D$4)/(X56-$D$4)+X296*(X65-$D$4)/(X56-$D$4)+X209*(X147-$D$4)/(X56-$D$4)+X303*(X91-$D$4)/(X56-$D$4)</f>
        <v>-2.321552816005605</v>
      </c>
      <c r="Y308" s="6">
        <f>Y217*(Y154-$D$4)/(Y56-$D$4)+Y296*(Y65-$D$4)/(Y56-$D$4)+Y209*(Y147-$D$4)/(Y56-$D$4)+Y303*(Y91-$D$4)/(Y56-$D$4)</f>
        <v>-3.2268039469080847</v>
      </c>
      <c r="Z308" s="6">
        <f>Z217*(Z154-$D$4)/(Z56-$D$4)+Z296*(Z65-$D$4)/(Z56-$D$4)+Z209*(Z147-$D$4)/(Z56-$D$4)+Z303*(Z91-$D$4)/(Z56-$D$4)</f>
        <v>-3.17831450176127</v>
      </c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</row>
    <row r="309" spans="1:256" ht="12.75">
      <c r="A309" t="s">
        <v>267</v>
      </c>
      <c r="B309" s="6">
        <f>(B218+$B$302)*(B153-$D$3)/(B55-$D$3)+(B210+$B$307)*(B146-$D$3)/(B55-$D$3)+B304*(B90-$D$3)/(B55-$D$3)+B297*(B63-$D$3)/(B55-$D$3)</f>
        <v>5.7082605882326005</v>
      </c>
      <c r="C309" s="6">
        <f>(C218+$B$302)*(C153-$D$3)/(C55-$D$3)+(C210+$B$307)*(C146-$D$3)/(C55-$D$3)+C304*(C90-$D$3)/(C55-$D$3)+C297*(C63-$D$3)/(C55-$D$3)</f>
        <v>-0.8673188124221092</v>
      </c>
      <c r="D309" s="6">
        <f>(D218+$B$302)*(D153-$D$3)/(D55-$D$3)+(D210+$B$307)*(D146-$D$3)/(D55-$D$3)+D304*(D90-$D$3)/(D55-$D$3)+D297*(D63-$D$3)/(D55-$D$3)</f>
        <v>33.39287584730655</v>
      </c>
      <c r="E309" s="6">
        <f>(E218+$B$302)*(E153-$D$3)/(E55-$D$3)+(E210+$B$307)*(E146-$D$3)/(E55-$D$3)+E304*(E90-$D$3)/(E55-$D$3)+E297*(E63-$D$3)/(E55-$D$3)</f>
        <v>16.437918750561607</v>
      </c>
      <c r="F309" s="6">
        <f>(F218+$B$302)*(F153-$D$3)/(F55-$D$3)+(F210+$B$307)*(F146-$D$3)/(F55-$D$3)+F304*(F90-$D$3)/(F55-$D$3)+F297*(F63-$D$3)/(F55-$D$3)</f>
        <v>15.238006170348688</v>
      </c>
      <c r="G309" s="6">
        <f>(G218+$B$302)*(G153-$D$3)/(G55-$D$3)+(G210+$B$307)*(G146-$D$3)/(G55-$D$3)+G304*(G90-$D$3)/(G55-$D$3)+G297*(G63-$D$3)/(G55-$D$3)</f>
        <v>23.517982742151084</v>
      </c>
      <c r="H309" s="6">
        <f>(H218+$B$302)*(H153-$D$3)/(H55-$D$3)+(H210+$B$307)*(H146-$D$3)/(H55-$D$3)+H304*(H90-$D$3)/(H55-$D$3)+H297*(H63-$D$3)/(H55-$D$3)</f>
        <v>2.554365242770629</v>
      </c>
      <c r="I309" s="6">
        <f>(I218+$B$302)*(I153-$D$3)/(I55-$D$3)+(I210+$B$307)*(I146-$D$3)/(I55-$D$3)+I304*(I90-$D$3)/(I55-$D$3)+I297*(I63-$D$3)/(I55-$D$3)</f>
        <v>6.288158609794339</v>
      </c>
      <c r="J309" s="6">
        <f>(J218+$B$302)*(J153-$D$3)/(J55-$D$3)+(J210+$B$307)*(J146-$D$3)/(J55-$D$3)+J304*(J90-$D$3)/(J55-$D$3)+J297*(J63-$D$3)/(J55-$D$3)</f>
        <v>7.1802448569097805</v>
      </c>
      <c r="K309" s="6">
        <f>(K218+$B$302)*(K153-$D$3)/(K55-$D$3)+(K210+$B$307)*(K146-$D$3)/(K55-$D$3)+K304*(K90-$D$3)/(K55-$D$3)+K297*(K63-$D$3)/(K55-$D$3)</f>
        <v>7.905428678216802</v>
      </c>
      <c r="L309" s="6">
        <f>(L218+$B$302)*(L153-$D$3)/(L55-$D$3)+(L210+$B$307)*(L146-$D$3)/(L55-$D$3)+L304*(L90-$D$3)/(L55-$D$3)+L297*(L63-$D$3)/(L55-$D$3)</f>
        <v>8.338107914485473</v>
      </c>
      <c r="M309" s="6">
        <f>(M218+$B$302)*(M153-$D$3)/(M55-$D$3)+(M210+$B$307)*(M146-$D$3)/(M55-$D$3)+M304*(M90-$D$3)/(M55-$D$3)+M297*(M63-$D$3)/(M55-$D$3)</f>
        <v>8.474843164647355</v>
      </c>
      <c r="N309" s="6">
        <f>(N218+$B$302)*(N153-$D$3)/(N55-$D$3)+(N210+$B$307)*(N146-$D$3)/(N55-$D$3)+N304*(N90-$D$3)/(N55-$D$3)+N297*(N63-$D$3)/(N55-$D$3)</f>
        <v>8.770843680106612</v>
      </c>
      <c r="O309" s="6">
        <f>(O218+$B$302)*(O153-$D$3)/(O55-$D$3)+(O210+$B$307)*(O146-$D$3)/(O55-$D$3)+O304*(O90-$D$3)/(O55-$D$3)+O297*(O63-$D$3)/(O55-$D$3)</f>
        <v>9.389628991326918</v>
      </c>
      <c r="P309" s="6">
        <f>(P218+$B$302)*(P153-$D$3)/(P55-$D$3)+(P210+$B$307)*(P146-$D$3)/(P55-$D$3)+P304*(P90-$D$3)/(P55-$D$3)+P297*(P63-$D$3)/(P55-$D$3)</f>
        <v>9.923134888820618</v>
      </c>
      <c r="Q309" s="6">
        <f>(Q218+$B$302)*(Q153-$D$3)/(Q55-$D$3)+(Q210+$B$307)*(Q146-$D$3)/(Q55-$D$3)+Q304*(Q90-$D$3)/(Q55-$D$3)+Q297*(Q63-$D$3)/(Q55-$D$3)</f>
        <v>9.992076779475168</v>
      </c>
      <c r="R309" s="6">
        <f>(R218+$B$302)*(R153-$D$3)/(R55-$D$3)+(R210+$B$307)*(R146-$D$3)/(R55-$D$3)+R304*(R90-$D$3)/(R55-$D$3)+R297*(R63-$D$3)/(R55-$D$3)</f>
        <v>9.688227933409298</v>
      </c>
      <c r="S309" s="6">
        <f>(S218+$B$302)*(S153-$D$3)/(S55-$D$3)+(S210+$B$307)*(S146-$D$3)/(S55-$D$3)+S304*(S90-$D$3)/(S55-$D$3)+S297*(S63-$D$3)/(S55-$D$3)</f>
        <v>9.38552095889041</v>
      </c>
      <c r="T309" s="6">
        <f>(T218+$B$302)*(T153-$D$3)/(T55-$D$3)+(T210+$B$307)*(T146-$D$3)/(T55-$D$3)+T304*(T90-$D$3)/(T55-$D$3)+T297*(T63-$D$3)/(T55-$D$3)</f>
        <v>9.288354881573994</v>
      </c>
      <c r="U309" s="6">
        <f>(U218+$B$302)*(U153-$D$3)/(U55-$D$3)+(U210+$B$307)*(U146-$D$3)/(U55-$D$3)+U304*(U90-$D$3)/(U55-$D$3)+U297*(U63-$D$3)/(U55-$D$3)</f>
        <v>9.240994234792872</v>
      </c>
      <c r="V309" s="6">
        <f>(V218+$B$302)*(V153-$D$3)/(V55-$D$3)+(V210+$B$307)*(V146-$D$3)/(V55-$D$3)+V304*(V90-$D$3)/(V55-$D$3)+V297*(V63-$D$3)/(V55-$D$3)</f>
        <v>9.05116847795444</v>
      </c>
      <c r="W309" s="6">
        <f>(W218+$B$302)*(W153-$D$3)/(W55-$D$3)+(W210+$B$307)*(W146-$D$3)/(W55-$D$3)+W304*(W90-$D$3)/(W55-$D$3)+W297*(W63-$D$3)/(W55-$D$3)</f>
        <v>8.76933947760459</v>
      </c>
      <c r="X309" s="6">
        <f>(X218+$B$302)*(X153-$D$3)/(X55-$D$3)+(X210+$B$307)*(X146-$D$3)/(X55-$D$3)+X304*(X90-$D$3)/(X55-$D$3)+X297*(X63-$D$3)/(X55-$D$3)</f>
        <v>8.399199385189796</v>
      </c>
      <c r="Y309" s="6">
        <f>(Y218+$B$302)*(Y153-$D$3)/(Y55-$D$3)+(Y210+$B$307)*(Y146-$D$3)/(Y55-$D$3)+Y304*(Y90-$D$3)/(Y55-$D$3)+Y297*(Y63-$D$3)/(Y55-$D$3)</f>
        <v>7.53119158571516</v>
      </c>
      <c r="Z309" s="6">
        <f>(Z218+$B$302)*(Z153-$D$3)/(Z55-$D$3)+(Z210+$B$307)*(Z146-$D$3)/(Z55-$D$3)+Z304*(Z90-$D$3)/(Z55-$D$3)+Z297*(Z63-$D$3)/(Z55-$D$3)</f>
        <v>5.551601460589911</v>
      </c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</row>
    <row r="310" spans="1:256" ht="12.75">
      <c r="A310" t="s">
        <v>268</v>
      </c>
      <c r="B310" s="5">
        <f>B219+B211+B300+B305</f>
        <v>2.7253926984685286</v>
      </c>
      <c r="C310" s="5">
        <f>C219+C211+C300+C305</f>
        <v>-2.7181586570134186</v>
      </c>
      <c r="D310" s="5">
        <f>D219+D211+D300+D305</f>
        <v>-6.782022909531153</v>
      </c>
      <c r="E310" s="5">
        <f>E219+E211+E300+E305</f>
        <v>-8.876322006370819</v>
      </c>
      <c r="F310" s="5">
        <f>F219+F211+F300+F305</f>
        <v>-8.526572301545528</v>
      </c>
      <c r="G310" s="5">
        <f>G219+G211+G300+G305</f>
        <v>-5.780403355633469</v>
      </c>
      <c r="H310" s="5">
        <f>H219+H211+H300+H305</f>
        <v>-1.7308662929985328</v>
      </c>
      <c r="I310" s="5">
        <f>I219+I211+I300+I305</f>
        <v>2.314532625484853</v>
      </c>
      <c r="J310" s="5">
        <f>J219+J211+J300+J305</f>
        <v>5.910096989295915</v>
      </c>
      <c r="K310" s="5">
        <f>K219+K211+K300+K305</f>
        <v>9.125776554601037</v>
      </c>
      <c r="L310" s="5">
        <f>L219+L211+L300+L305</f>
        <v>11.876651812231904</v>
      </c>
      <c r="M310" s="5">
        <f>M219+M211+M300+M305</f>
        <v>14.089397928505477</v>
      </c>
      <c r="N310" s="5">
        <f>N219+N211+N300+N305</f>
        <v>15.917174214545513</v>
      </c>
      <c r="O310" s="5">
        <f>O219+O211+O300+O305</f>
        <v>17.454136629444445</v>
      </c>
      <c r="P310" s="5">
        <f>P219+P211+P300+P305</f>
        <v>18.603300690417978</v>
      </c>
      <c r="Q310" s="5">
        <f>Q219+Q211+Q300+Q305</f>
        <v>19.32611328461026</v>
      </c>
      <c r="R310" s="5">
        <f>R219+R211+R300+R305</f>
        <v>19.743637030528937</v>
      </c>
      <c r="S310" s="5">
        <f>S219+S211+S300+S305</f>
        <v>19.95556165467587</v>
      </c>
      <c r="T310" s="5">
        <f>T219+T211+T300+T305</f>
        <v>19.9260273036677</v>
      </c>
      <c r="U310" s="5">
        <f>U219+U211+U300+U305</f>
        <v>19.51840852100444</v>
      </c>
      <c r="V310" s="5">
        <f>V219+V211+V300+V305</f>
        <v>18.501706361965027</v>
      </c>
      <c r="W310" s="5">
        <f>W219+W211+W300+W305</f>
        <v>16.549488593488014</v>
      </c>
      <c r="X310" s="5">
        <f>X219+X211+X300+X305</f>
        <v>13.313555866754395</v>
      </c>
      <c r="Y310" s="5">
        <f>Y219+Y211+Y300+Y305</f>
        <v>8.542686556199335</v>
      </c>
      <c r="Z310" s="5">
        <f>Z219+Z211+Z300+Z305</f>
        <v>2.7253926984685233</v>
      </c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8"/>
      <c r="DL310" s="108"/>
      <c r="DM310" s="108"/>
      <c r="DN310" s="108"/>
      <c r="DO310" s="108"/>
      <c r="DP310" s="108"/>
      <c r="DQ310" s="108"/>
      <c r="DR310" s="108"/>
      <c r="DS310" s="108"/>
      <c r="DT310" s="108"/>
      <c r="DU310" s="108"/>
      <c r="DV310" s="108"/>
      <c r="DW310" s="108"/>
      <c r="DX310" s="108"/>
      <c r="DY310" s="108"/>
      <c r="DZ310" s="108"/>
      <c r="EA310" s="108"/>
      <c r="EB310" s="108"/>
      <c r="EC310" s="108"/>
      <c r="ED310" s="108"/>
      <c r="EE310" s="108"/>
      <c r="EF310" s="108"/>
      <c r="EG310" s="108"/>
      <c r="EH310" s="108"/>
      <c r="EI310" s="108"/>
      <c r="EJ310" s="108"/>
      <c r="EK310" s="108"/>
      <c r="EL310" s="108"/>
      <c r="EM310" s="108"/>
      <c r="EN310" s="108"/>
      <c r="EO310" s="108"/>
      <c r="EP310" s="108"/>
      <c r="EQ310" s="108"/>
      <c r="ER310" s="108"/>
      <c r="ES310" s="108"/>
      <c r="ET310" s="108"/>
      <c r="EU310" s="108"/>
      <c r="EV310" s="108"/>
      <c r="EW310" s="108"/>
      <c r="EX310" s="108"/>
      <c r="EY310" s="108"/>
      <c r="EZ310" s="108"/>
      <c r="FA310" s="108"/>
      <c r="FB310" s="108"/>
      <c r="FC310" s="108"/>
      <c r="FD310" s="108"/>
      <c r="FE310" s="108"/>
      <c r="FF310" s="108"/>
      <c r="FG310" s="108"/>
      <c r="FH310" s="108"/>
      <c r="FI310" s="108"/>
      <c r="FJ310" s="108"/>
      <c r="FK310" s="108"/>
      <c r="FL310" s="108"/>
      <c r="FM310" s="108"/>
      <c r="FN310" s="108"/>
      <c r="FO310" s="108"/>
      <c r="FP310" s="108"/>
      <c r="FQ310" s="108"/>
      <c r="FR310" s="108"/>
      <c r="FS310" s="108"/>
      <c r="FT310" s="108"/>
      <c r="FU310" s="108"/>
      <c r="FV310" s="108"/>
      <c r="FW310" s="108"/>
      <c r="FX310" s="108"/>
      <c r="FY310" s="108"/>
      <c r="FZ310" s="108"/>
      <c r="GA310" s="108"/>
      <c r="GB310" s="108"/>
      <c r="GC310" s="108"/>
      <c r="GD310" s="108"/>
      <c r="GE310" s="108"/>
      <c r="GF310" s="108"/>
      <c r="GG310" s="108"/>
      <c r="GH310" s="108"/>
      <c r="GI310" s="108"/>
      <c r="GJ310" s="108"/>
      <c r="GK310" s="108"/>
      <c r="GL310" s="108"/>
      <c r="GM310" s="108"/>
      <c r="GN310" s="108"/>
      <c r="GO310" s="108"/>
      <c r="GP310" s="108"/>
      <c r="GQ310" s="108"/>
      <c r="GR310" s="108"/>
      <c r="GS310" s="108"/>
      <c r="GT310" s="108"/>
      <c r="GU310" s="108"/>
      <c r="GV310" s="108"/>
      <c r="GW310" s="108"/>
      <c r="GX310" s="108"/>
      <c r="GY310" s="108"/>
      <c r="GZ310" s="108"/>
      <c r="HA310" s="108"/>
      <c r="HB310" s="108"/>
      <c r="HC310" s="108"/>
      <c r="HD310" s="108"/>
      <c r="HE310" s="108"/>
      <c r="HF310" s="108"/>
      <c r="HG310" s="108"/>
      <c r="HH310" s="108"/>
      <c r="HI310" s="108"/>
      <c r="HJ310" s="108"/>
      <c r="HK310" s="108"/>
      <c r="HL310" s="108"/>
      <c r="HM310" s="108"/>
      <c r="HN310" s="108"/>
      <c r="HO310" s="108"/>
      <c r="HP310" s="108"/>
      <c r="HQ310" s="108"/>
      <c r="HR310" s="108"/>
      <c r="HS310" s="108"/>
      <c r="HT310" s="108"/>
      <c r="HU310" s="108"/>
      <c r="HV310" s="108"/>
      <c r="HW310" s="108"/>
      <c r="HX310" s="108"/>
      <c r="HY310" s="108"/>
      <c r="HZ310" s="108"/>
      <c r="IA310" s="108"/>
      <c r="IB310" s="108"/>
      <c r="IC310" s="108"/>
      <c r="ID310" s="108"/>
      <c r="IE310" s="108"/>
      <c r="IF310" s="108"/>
      <c r="IG310" s="108"/>
      <c r="IH310" s="108"/>
      <c r="II310" s="108"/>
      <c r="IJ310" s="108"/>
      <c r="IK310" s="108"/>
      <c r="IL310" s="108"/>
      <c r="IM310" s="108"/>
      <c r="IN310" s="108"/>
      <c r="IO310" s="108"/>
      <c r="IP310" s="108"/>
      <c r="IQ310" s="108"/>
      <c r="IR310" s="108"/>
      <c r="IS310" s="108"/>
      <c r="IT310" s="108"/>
      <c r="IU310" s="108"/>
      <c r="IV310" s="108"/>
    </row>
    <row r="311" spans="1:256" ht="11.25" customHeight="1">
      <c r="A311" s="12" t="s">
        <v>317</v>
      </c>
      <c r="B311" s="13">
        <f>B308*B57+B309*B58+B310*B39-(B228+B229+B236+B237+B212+B213+B220+B221+B244+B245+B252+B253)-B266-B267</f>
        <v>0</v>
      </c>
      <c r="C311" s="13">
        <f>C308*C57+C309*C58+C310*C39-(C228+C229+C236+C237+C212+C213+C220+C221+C244+C245+C252+C253)-C266-C267</f>
        <v>0</v>
      </c>
      <c r="D311" s="13">
        <f>D308*D57+D309*D58+D310*D39-(D228+D229+D236+D237+D212+D213+D220+D221+D244+D245+D252+D253)-D266-D267</f>
        <v>-3.197442310920451E-14</v>
      </c>
      <c r="E311" s="13">
        <f>E308*E57+E309*E58+E310*E39-(E228+E229+E236+E237+E212+E213+E220+E221+E244+E245+E252+E253)-E266-E267</f>
        <v>5.773159728050814E-15</v>
      </c>
      <c r="F311" s="13">
        <f>F308*F57+F309*F58+F310*F39-(F228+F229+F236+F237+F212+F213+F220+F221+F244+F245+F252+F253)-F266-F267</f>
        <v>7.105427357601002E-15</v>
      </c>
      <c r="G311" s="13">
        <f>G308*G57+G309*G58+G310*G39-(G228+G229+G236+G237+G212+G213+G220+G221+G244+G245+G252+G253)-G266-G267</f>
        <v>0</v>
      </c>
      <c r="H311" s="13">
        <f>H308*H57+H309*H58+H310*H39-(H228+H229+H236+H237+H212+H213+H220+H221+H244+H245+H252+H253)-H266-H267</f>
        <v>0</v>
      </c>
      <c r="I311" s="13">
        <f>I308*I57+I309*I58+I310*I39-(I228+I229+I236+I237+I212+I213+I220+I221+I244+I245+I252+I253)-I266-I267</f>
        <v>0</v>
      </c>
      <c r="J311" s="13">
        <f>J308*J57+J309*J58+J310*J39-(J228+J229+J236+J237+J212+J213+J220+J221+J244+J245+J252+J253)-J266-J267</f>
        <v>0</v>
      </c>
      <c r="K311" s="13">
        <f>K308*K57+K309*K58+K310*K39-(K228+K229+K236+K237+K212+K213+K220+K221+K244+K245+K252+K253)-K266-K267</f>
        <v>0</v>
      </c>
      <c r="L311" s="13">
        <f>L308*L57+L309*L58+L310*L39-(L228+L229+L236+L237+L212+L213+L220+L221+L244+L245+L252+L253)-L266-L267</f>
        <v>1.0658141036401503E-14</v>
      </c>
      <c r="M311" s="13">
        <f>M308*M57+M309*M58+M310*M39-(M228+M229+M236+M237+M212+M213+M220+M221+M244+M245+M252+M253)-M266-M267</f>
        <v>0</v>
      </c>
      <c r="N311" s="13">
        <f>N308*N57+N309*N58+N310*N39-(N228+N229+N236+N237+N212+N213+N220+N221+N244+N245+N252+N253)-N266-N267</f>
        <v>0</v>
      </c>
      <c r="O311" s="13">
        <f>O308*O57+O309*O58+O310*O39-(O228+O229+O236+O237+O212+O213+O220+O221+O244+O245+O252+O253)-O266-O267</f>
        <v>-1.2878587085651816E-14</v>
      </c>
      <c r="P311" s="13">
        <f>P308*P57+P309*P58+P310*P39-(P228+P229+P236+P237+P212+P213+P220+P221+P244+P245+P252+P253)-P266-P267</f>
        <v>1.2212453270876722E-15</v>
      </c>
      <c r="Q311" s="13">
        <f>Q308*Q57+Q309*Q58+Q310*Q39-(Q228+Q229+Q236+Q237+Q212+Q213+Q220+Q221+Q244+Q245+Q252+Q253)-Q266-Q267</f>
        <v>1.1102230246251565E-14</v>
      </c>
      <c r="R311" s="13">
        <f>R308*R57+R309*R58+R310*R39-(R228+R229+R236+R237+R212+R213+R220+R221+R244+R245+R252+R253)-R266-R267</f>
        <v>0</v>
      </c>
      <c r="S311" s="13">
        <f>S308*S57+S309*S58+S310*S39-(S228+S229+S236+S237+S212+S213+S220+S221+S244+S245+S252+S253)-S266-S267</f>
        <v>1.0068335054569388E-14</v>
      </c>
      <c r="T311" s="13">
        <f>T308*T57+T309*T58+T310*T39-(T228+T229+T236+T237+T212+T213+T220+T221+T244+T245+T252+T253)-T266-T267</f>
        <v>7.216449660063518E-15</v>
      </c>
      <c r="U311" s="13">
        <f>U308*U57+U309*U58+U310*U39-(U228+U229+U236+U237+U212+U213+U220+U221+U244+U245+U252+U253)-U266-U267</f>
        <v>0</v>
      </c>
      <c r="V311" s="13">
        <f>V308*V57+V309*V58+V310*V39-(V228+V229+V236+V237+V212+V213+V220+V221+V244+V245+V252+V253)-V266-V267</f>
        <v>0</v>
      </c>
      <c r="W311" s="13">
        <f>W308*W57+W309*W58+W310*W39-(W228+W229+W236+W237+W212+W213+W220+W221+W244+W245+W252+W253)-W266-W267</f>
        <v>0</v>
      </c>
      <c r="X311" s="13">
        <f>X308*X57+X309*X58+X310*X39-(X228+X229+X236+X237+X212+X213+X220+X221+X244+X245+X252+X253)-X266-X267</f>
        <v>0</v>
      </c>
      <c r="Y311" s="13">
        <f>Y308*Y57+Y309*Y58+Y310*Y39-(Y228+Y229+Y236+Y237+Y212+Y213+Y220+Y221+Y244+Y245+Y252+Y253)-Y266-Y267</f>
        <v>0</v>
      </c>
      <c r="Z311" s="13">
        <f>Z308*Z57+Z309*Z58+Z310*Z39-(Z228+Z229+Z236+Z237+Z212+Z213+Z220+Z221+Z244+Z245+Z252+Z253)-Z266-Z267</f>
        <v>5.17588375621369E-15</v>
      </c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  <c r="CW311" s="108"/>
      <c r="CX311" s="108"/>
      <c r="CY311" s="108"/>
      <c r="CZ311" s="108"/>
      <c r="DA311" s="108"/>
      <c r="DB311" s="108"/>
      <c r="DC311" s="108"/>
      <c r="DD311" s="108"/>
      <c r="DE311" s="108"/>
      <c r="DF311" s="108"/>
      <c r="DG311" s="108"/>
      <c r="DH311" s="108"/>
      <c r="DI311" s="108"/>
      <c r="DJ311" s="108"/>
      <c r="DK311" s="108"/>
      <c r="DL311" s="108"/>
      <c r="DM311" s="108"/>
      <c r="DN311" s="108"/>
      <c r="DO311" s="108"/>
      <c r="DP311" s="108"/>
      <c r="DQ311" s="108"/>
      <c r="DR311" s="108"/>
      <c r="DS311" s="108"/>
      <c r="DT311" s="108"/>
      <c r="DU311" s="108"/>
      <c r="DV311" s="108"/>
      <c r="DW311" s="108"/>
      <c r="DX311" s="108"/>
      <c r="DY311" s="108"/>
      <c r="DZ311" s="108"/>
      <c r="EA311" s="108"/>
      <c r="EB311" s="108"/>
      <c r="EC311" s="108"/>
      <c r="ED311" s="108"/>
      <c r="EE311" s="108"/>
      <c r="EF311" s="108"/>
      <c r="EG311" s="108"/>
      <c r="EH311" s="108"/>
      <c r="EI311" s="108"/>
      <c r="EJ311" s="108"/>
      <c r="EK311" s="108"/>
      <c r="EL311" s="108"/>
      <c r="EM311" s="108"/>
      <c r="EN311" s="108"/>
      <c r="EO311" s="108"/>
      <c r="EP311" s="108"/>
      <c r="EQ311" s="108"/>
      <c r="ER311" s="108"/>
      <c r="ES311" s="108"/>
      <c r="ET311" s="108"/>
      <c r="EU311" s="108"/>
      <c r="EV311" s="108"/>
      <c r="EW311" s="108"/>
      <c r="EX311" s="108"/>
      <c r="EY311" s="108"/>
      <c r="EZ311" s="108"/>
      <c r="FA311" s="108"/>
      <c r="FB311" s="108"/>
      <c r="FC311" s="108"/>
      <c r="FD311" s="108"/>
      <c r="FE311" s="108"/>
      <c r="FF311" s="108"/>
      <c r="FG311" s="108"/>
      <c r="FH311" s="108"/>
      <c r="FI311" s="108"/>
      <c r="FJ311" s="108"/>
      <c r="FK311" s="108"/>
      <c r="FL311" s="108"/>
      <c r="FM311" s="108"/>
      <c r="FN311" s="108"/>
      <c r="FO311" s="108"/>
      <c r="FP311" s="108"/>
      <c r="FQ311" s="108"/>
      <c r="FR311" s="108"/>
      <c r="FS311" s="108"/>
      <c r="FT311" s="108"/>
      <c r="FU311" s="108"/>
      <c r="FV311" s="108"/>
      <c r="FW311" s="108"/>
      <c r="FX311" s="108"/>
      <c r="FY311" s="108"/>
      <c r="FZ311" s="108"/>
      <c r="GA311" s="108"/>
      <c r="GB311" s="108"/>
      <c r="GC311" s="108"/>
      <c r="GD311" s="108"/>
      <c r="GE311" s="108"/>
      <c r="GF311" s="108"/>
      <c r="GG311" s="108"/>
      <c r="GH311" s="108"/>
      <c r="GI311" s="108"/>
      <c r="GJ311" s="108"/>
      <c r="GK311" s="108"/>
      <c r="GL311" s="108"/>
      <c r="GM311" s="108"/>
      <c r="GN311" s="108"/>
      <c r="GO311" s="108"/>
      <c r="GP311" s="108"/>
      <c r="GQ311" s="108"/>
      <c r="GR311" s="108"/>
      <c r="GS311" s="108"/>
      <c r="GT311" s="108"/>
      <c r="GU311" s="108"/>
      <c r="GV311" s="108"/>
      <c r="GW311" s="108"/>
      <c r="GX311" s="108"/>
      <c r="GY311" s="108"/>
      <c r="GZ311" s="108"/>
      <c r="HA311" s="108"/>
      <c r="HB311" s="108"/>
      <c r="HC311" s="108"/>
      <c r="HD311" s="108"/>
      <c r="HE311" s="108"/>
      <c r="HF311" s="108"/>
      <c r="HG311" s="108"/>
      <c r="HH311" s="108"/>
      <c r="HI311" s="108"/>
      <c r="HJ311" s="108"/>
      <c r="HK311" s="108"/>
      <c r="HL311" s="108"/>
      <c r="HM311" s="108"/>
      <c r="HN311" s="108"/>
      <c r="HO311" s="108"/>
      <c r="HP311" s="108"/>
      <c r="HQ311" s="108"/>
      <c r="HR311" s="108"/>
      <c r="HS311" s="108"/>
      <c r="HT311" s="108"/>
      <c r="HU311" s="108"/>
      <c r="HV311" s="108"/>
      <c r="HW311" s="108"/>
      <c r="HX311" s="108"/>
      <c r="HY311" s="108"/>
      <c r="HZ311" s="108"/>
      <c r="IA311" s="108"/>
      <c r="IB311" s="108"/>
      <c r="IC311" s="108"/>
      <c r="ID311" s="108"/>
      <c r="IE311" s="108"/>
      <c r="IF311" s="108"/>
      <c r="IG311" s="108"/>
      <c r="IH311" s="108"/>
      <c r="II311" s="108"/>
      <c r="IJ311" s="108"/>
      <c r="IK311" s="108"/>
      <c r="IL311" s="108"/>
      <c r="IM311" s="108"/>
      <c r="IN311" s="108"/>
      <c r="IO311" s="108"/>
      <c r="IP311" s="108"/>
      <c r="IQ311" s="108"/>
      <c r="IR311" s="108"/>
      <c r="IS311" s="108"/>
      <c r="IT311" s="108"/>
      <c r="IU311" s="108"/>
      <c r="IV311" s="108"/>
    </row>
    <row r="312" spans="1:256" ht="11.25" customHeight="1">
      <c r="A312" s="44" t="s">
        <v>329</v>
      </c>
      <c r="B312" s="70"/>
      <c r="C312" s="70"/>
      <c r="D312" s="70" t="s">
        <v>330</v>
      </c>
      <c r="E312" s="70"/>
      <c r="F312" s="70" t="s">
        <v>331</v>
      </c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  <c r="CW312" s="108"/>
      <c r="CX312" s="108"/>
      <c r="CY312" s="108"/>
      <c r="CZ312" s="108"/>
      <c r="DA312" s="108"/>
      <c r="DB312" s="108"/>
      <c r="DC312" s="108"/>
      <c r="DD312" s="108"/>
      <c r="DE312" s="108"/>
      <c r="DF312" s="108"/>
      <c r="DG312" s="108"/>
      <c r="DH312" s="108"/>
      <c r="DI312" s="108"/>
      <c r="DJ312" s="108"/>
      <c r="DK312" s="108"/>
      <c r="DL312" s="108"/>
      <c r="DM312" s="108"/>
      <c r="DN312" s="108"/>
      <c r="DO312" s="108"/>
      <c r="DP312" s="108"/>
      <c r="DQ312" s="108"/>
      <c r="DR312" s="108"/>
      <c r="DS312" s="108"/>
      <c r="DT312" s="108"/>
      <c r="DU312" s="108"/>
      <c r="DV312" s="108"/>
      <c r="DW312" s="108"/>
      <c r="DX312" s="108"/>
      <c r="DY312" s="108"/>
      <c r="DZ312" s="108"/>
      <c r="EA312" s="108"/>
      <c r="EB312" s="108"/>
      <c r="EC312" s="108"/>
      <c r="ED312" s="108"/>
      <c r="EE312" s="108"/>
      <c r="EF312" s="108"/>
      <c r="EG312" s="108"/>
      <c r="EH312" s="108"/>
      <c r="EI312" s="108"/>
      <c r="EJ312" s="108"/>
      <c r="EK312" s="108"/>
      <c r="EL312" s="108"/>
      <c r="EM312" s="108"/>
      <c r="EN312" s="108"/>
      <c r="EO312" s="108"/>
      <c r="EP312" s="108"/>
      <c r="EQ312" s="108"/>
      <c r="ER312" s="108"/>
      <c r="ES312" s="108"/>
      <c r="ET312" s="108"/>
      <c r="EU312" s="108"/>
      <c r="EV312" s="108"/>
      <c r="EW312" s="108"/>
      <c r="EX312" s="108"/>
      <c r="EY312" s="108"/>
      <c r="EZ312" s="108"/>
      <c r="FA312" s="108"/>
      <c r="FB312" s="108"/>
      <c r="FC312" s="108"/>
      <c r="FD312" s="108"/>
      <c r="FE312" s="108"/>
      <c r="FF312" s="108"/>
      <c r="FG312" s="108"/>
      <c r="FH312" s="108"/>
      <c r="FI312" s="108"/>
      <c r="FJ312" s="108"/>
      <c r="FK312" s="108"/>
      <c r="FL312" s="108"/>
      <c r="FM312" s="108"/>
      <c r="FN312" s="108"/>
      <c r="FO312" s="108"/>
      <c r="FP312" s="108"/>
      <c r="FQ312" s="108"/>
      <c r="FR312" s="108"/>
      <c r="FS312" s="108"/>
      <c r="FT312" s="108"/>
      <c r="FU312" s="108"/>
      <c r="FV312" s="108"/>
      <c r="FW312" s="108"/>
      <c r="FX312" s="108"/>
      <c r="FY312" s="108"/>
      <c r="FZ312" s="108"/>
      <c r="GA312" s="108"/>
      <c r="GB312" s="108"/>
      <c r="GC312" s="108"/>
      <c r="GD312" s="108"/>
      <c r="GE312" s="108"/>
      <c r="GF312" s="108"/>
      <c r="GG312" s="108"/>
      <c r="GH312" s="108"/>
      <c r="GI312" s="108"/>
      <c r="GJ312" s="108"/>
      <c r="GK312" s="108"/>
      <c r="GL312" s="108"/>
      <c r="GM312" s="108"/>
      <c r="GN312" s="108"/>
      <c r="GO312" s="108"/>
      <c r="GP312" s="108"/>
      <c r="GQ312" s="108"/>
      <c r="GR312" s="108"/>
      <c r="GS312" s="108"/>
      <c r="GT312" s="108"/>
      <c r="GU312" s="108"/>
      <c r="GV312" s="108"/>
      <c r="GW312" s="108"/>
      <c r="GX312" s="108"/>
      <c r="GY312" s="108"/>
      <c r="GZ312" s="108"/>
      <c r="HA312" s="108"/>
      <c r="HB312" s="108"/>
      <c r="HC312" s="108"/>
      <c r="HD312" s="108"/>
      <c r="HE312" s="108"/>
      <c r="HF312" s="108"/>
      <c r="HG312" s="108"/>
      <c r="HH312" s="108"/>
      <c r="HI312" s="108"/>
      <c r="HJ312" s="108"/>
      <c r="HK312" s="108"/>
      <c r="HL312" s="108"/>
      <c r="HM312" s="108"/>
      <c r="HN312" s="108"/>
      <c r="HO312" s="108"/>
      <c r="HP312" s="108"/>
      <c r="HQ312" s="108"/>
      <c r="HR312" s="108"/>
      <c r="HS312" s="108"/>
      <c r="HT312" s="108"/>
      <c r="HU312" s="108"/>
      <c r="HV312" s="108"/>
      <c r="HW312" s="108"/>
      <c r="HX312" s="108"/>
      <c r="HY312" s="108"/>
      <c r="HZ312" s="108"/>
      <c r="IA312" s="108"/>
      <c r="IB312" s="108"/>
      <c r="IC312" s="108"/>
      <c r="ID312" s="108"/>
      <c r="IE312" s="108"/>
      <c r="IF312" s="108"/>
      <c r="IG312" s="108"/>
      <c r="IH312" s="108"/>
      <c r="II312" s="108"/>
      <c r="IJ312" s="108"/>
      <c r="IK312" s="108"/>
      <c r="IL312" s="108"/>
      <c r="IM312" s="108"/>
      <c r="IN312" s="108"/>
      <c r="IO312" s="108"/>
      <c r="IP312" s="108"/>
      <c r="IQ312" s="108"/>
      <c r="IR312" s="108"/>
      <c r="IS312" s="108"/>
      <c r="IT312" s="108"/>
      <c r="IU312" s="108"/>
      <c r="IV312" s="108"/>
    </row>
    <row r="313" spans="1:256" ht="11.25" customHeight="1">
      <c r="A313" t="s">
        <v>266</v>
      </c>
      <c r="B313" s="70">
        <f>B296*(B65-$D$4)/(B56-$D$4)</f>
        <v>-0.3356503300673672</v>
      </c>
      <c r="C313" s="70">
        <f>C296*(C65-$D$4)/(C56-$D$4)</f>
        <v>-1.1519103429117366</v>
      </c>
      <c r="D313" s="70">
        <f>D296*(D65-$D$4)/(D56-$D$4)</f>
        <v>-1.2058606638909772</v>
      </c>
      <c r="E313" s="70">
        <f>E296*(E65-$D$4)/(E56-$D$4)</f>
        <v>-0.6891066639295284</v>
      </c>
      <c r="F313" s="70">
        <f>F296*(F65-$D$4)/(F56-$D$4)</f>
        <v>-0.11229297192724713</v>
      </c>
      <c r="G313" s="70">
        <f>G296*(G65-$D$4)/(G56-$D$4)</f>
        <v>0.18872000927905191</v>
      </c>
      <c r="H313" s="70">
        <f>H296*(H65-$D$4)/(H56-$D$4)</f>
        <v>0.17450139677267318</v>
      </c>
      <c r="I313" s="70">
        <f>I296*(I65-$D$4)/(I56-$D$4)</f>
        <v>0.06386460190201404</v>
      </c>
      <c r="J313" s="70">
        <f>J296*(J65-$D$4)/(J56-$D$4)</f>
        <v>0.06452784895819151</v>
      </c>
      <c r="K313" s="70">
        <f>K296*(K65-$D$4)/(K56-$D$4)</f>
        <v>0.15514381269352948</v>
      </c>
      <c r="L313" s="70">
        <f>L296*(L65-$D$4)/(L56-$D$4)</f>
        <v>0.19027558818091</v>
      </c>
      <c r="M313" s="70">
        <f>M296*(M65-$D$4)/(M56-$D$4)</f>
        <v>0.14926984969392662</v>
      </c>
      <c r="N313" s="70">
        <f>N296*(N65-$D$4)/(N56-$D$4)</f>
        <v>0.1603424923122696</v>
      </c>
      <c r="O313" s="70">
        <f>O296*(O65-$D$4)/(O56-$D$4)</f>
        <v>0.28254888189976934</v>
      </c>
      <c r="P313" s="70">
        <f>P296*(P65-$D$4)/(P56-$D$4)</f>
        <v>0.38696499968720777</v>
      </c>
      <c r="Q313" s="70">
        <f>Q296*(Q65-$D$4)/(Q56-$D$4)</f>
        <v>0.3203070369474828</v>
      </c>
      <c r="R313" s="70">
        <f>R296*(R65-$D$4)/(R56-$D$4)</f>
        <v>0.1141329861002091</v>
      </c>
      <c r="S313" s="70">
        <f>S296*(S65-$D$4)/(S56-$D$4)</f>
        <v>-0.056064684368046916</v>
      </c>
      <c r="T313" s="70">
        <f>T296*(T65-$D$4)/(T56-$D$4)</f>
        <v>-0.08987224550564345</v>
      </c>
      <c r="U313" s="70">
        <f>U296*(U65-$D$4)/(U56-$D$4)</f>
        <v>-0.04295812551532267</v>
      </c>
      <c r="V313" s="70">
        <f>V296*(V65-$D$4)/(V56-$D$4)</f>
        <v>0.028164753546853983</v>
      </c>
      <c r="W313" s="70">
        <f>W296*(W65-$D$4)/(W56-$D$4)</f>
        <v>0.19390566450452568</v>
      </c>
      <c r="X313" s="70">
        <f>X296*(X65-$D$4)/(X56-$D$4)</f>
        <v>0.46107615788700335</v>
      </c>
      <c r="Y313" s="70">
        <f>Y296*(Y65-$D$4)/(Y56-$D$4)</f>
        <v>0.4227093989902957</v>
      </c>
      <c r="Z313" s="70">
        <f>Z296*(Z65-$D$4)/(Z56-$D$4)</f>
        <v>-0.33565033006736744</v>
      </c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08"/>
      <c r="CY313" s="108"/>
      <c r="CZ313" s="108"/>
      <c r="DA313" s="108"/>
      <c r="DB313" s="108"/>
      <c r="DC313" s="108"/>
      <c r="DD313" s="108"/>
      <c r="DE313" s="108"/>
      <c r="DF313" s="108"/>
      <c r="DG313" s="108"/>
      <c r="DH313" s="108"/>
      <c r="DI313" s="108"/>
      <c r="DJ313" s="108"/>
      <c r="DK313" s="108"/>
      <c r="DL313" s="108"/>
      <c r="DM313" s="108"/>
      <c r="DN313" s="108"/>
      <c r="DO313" s="108"/>
      <c r="DP313" s="108"/>
      <c r="DQ313" s="108"/>
      <c r="DR313" s="108"/>
      <c r="DS313" s="108"/>
      <c r="DT313" s="108"/>
      <c r="DU313" s="108"/>
      <c r="DV313" s="108"/>
      <c r="DW313" s="108"/>
      <c r="DX313" s="108"/>
      <c r="DY313" s="108"/>
      <c r="DZ313" s="108"/>
      <c r="EA313" s="108"/>
      <c r="EB313" s="108"/>
      <c r="EC313" s="108"/>
      <c r="ED313" s="108"/>
      <c r="EE313" s="108"/>
      <c r="EF313" s="108"/>
      <c r="EG313" s="108"/>
      <c r="EH313" s="108"/>
      <c r="EI313" s="108"/>
      <c r="EJ313" s="108"/>
      <c r="EK313" s="108"/>
      <c r="EL313" s="108"/>
      <c r="EM313" s="108"/>
      <c r="EN313" s="108"/>
      <c r="EO313" s="108"/>
      <c r="EP313" s="108"/>
      <c r="EQ313" s="108"/>
      <c r="ER313" s="108"/>
      <c r="ES313" s="108"/>
      <c r="ET313" s="108"/>
      <c r="EU313" s="108"/>
      <c r="EV313" s="108"/>
      <c r="EW313" s="108"/>
      <c r="EX313" s="108"/>
      <c r="EY313" s="108"/>
      <c r="EZ313" s="108"/>
      <c r="FA313" s="108"/>
      <c r="FB313" s="108"/>
      <c r="FC313" s="108"/>
      <c r="FD313" s="108"/>
      <c r="FE313" s="108"/>
      <c r="FF313" s="108"/>
      <c r="FG313" s="108"/>
      <c r="FH313" s="108"/>
      <c r="FI313" s="108"/>
      <c r="FJ313" s="108"/>
      <c r="FK313" s="108"/>
      <c r="FL313" s="108"/>
      <c r="FM313" s="108"/>
      <c r="FN313" s="108"/>
      <c r="FO313" s="108"/>
      <c r="FP313" s="108"/>
      <c r="FQ313" s="108"/>
      <c r="FR313" s="108"/>
      <c r="FS313" s="108"/>
      <c r="FT313" s="108"/>
      <c r="FU313" s="108"/>
      <c r="FV313" s="108"/>
      <c r="FW313" s="108"/>
      <c r="FX313" s="108"/>
      <c r="FY313" s="108"/>
      <c r="FZ313" s="108"/>
      <c r="GA313" s="108"/>
      <c r="GB313" s="108"/>
      <c r="GC313" s="108"/>
      <c r="GD313" s="108"/>
      <c r="GE313" s="108"/>
      <c r="GF313" s="108"/>
      <c r="GG313" s="108"/>
      <c r="GH313" s="108"/>
      <c r="GI313" s="108"/>
      <c r="GJ313" s="108"/>
      <c r="GK313" s="108"/>
      <c r="GL313" s="108"/>
      <c r="GM313" s="108"/>
      <c r="GN313" s="108"/>
      <c r="GO313" s="108"/>
      <c r="GP313" s="108"/>
      <c r="GQ313" s="108"/>
      <c r="GR313" s="108"/>
      <c r="GS313" s="108"/>
      <c r="GT313" s="108"/>
      <c r="GU313" s="108"/>
      <c r="GV313" s="108"/>
      <c r="GW313" s="108"/>
      <c r="GX313" s="108"/>
      <c r="GY313" s="108"/>
      <c r="GZ313" s="108"/>
      <c r="HA313" s="108"/>
      <c r="HB313" s="108"/>
      <c r="HC313" s="108"/>
      <c r="HD313" s="108"/>
      <c r="HE313" s="108"/>
      <c r="HF313" s="108"/>
      <c r="HG313" s="108"/>
      <c r="HH313" s="108"/>
      <c r="HI313" s="108"/>
      <c r="HJ313" s="108"/>
      <c r="HK313" s="108"/>
      <c r="HL313" s="108"/>
      <c r="HM313" s="108"/>
      <c r="HN313" s="108"/>
      <c r="HO313" s="108"/>
      <c r="HP313" s="108"/>
      <c r="HQ313" s="108"/>
      <c r="HR313" s="108"/>
      <c r="HS313" s="108"/>
      <c r="HT313" s="108"/>
      <c r="HU313" s="108"/>
      <c r="HV313" s="108"/>
      <c r="HW313" s="108"/>
      <c r="HX313" s="108"/>
      <c r="HY313" s="108"/>
      <c r="HZ313" s="108"/>
      <c r="IA313" s="108"/>
      <c r="IB313" s="108"/>
      <c r="IC313" s="108"/>
      <c r="ID313" s="108"/>
      <c r="IE313" s="108"/>
      <c r="IF313" s="108"/>
      <c r="IG313" s="108"/>
      <c r="IH313" s="108"/>
      <c r="II313" s="108"/>
      <c r="IJ313" s="108"/>
      <c r="IK313" s="108"/>
      <c r="IL313" s="108"/>
      <c r="IM313" s="108"/>
      <c r="IN313" s="108"/>
      <c r="IO313" s="108"/>
      <c r="IP313" s="108"/>
      <c r="IQ313" s="108"/>
      <c r="IR313" s="108"/>
      <c r="IS313" s="108"/>
      <c r="IT313" s="108"/>
      <c r="IU313" s="108"/>
      <c r="IV313" s="108"/>
    </row>
    <row r="314" spans="1:256" ht="11.25" customHeight="1">
      <c r="A314" t="s">
        <v>267</v>
      </c>
      <c r="B314" s="70">
        <f>B297*(B63-$D$3)/(B55-$D$3)</f>
        <v>11.8361745796093</v>
      </c>
      <c r="C314" s="70">
        <f>C297*(C63-$D$3)/(C55-$D$3)</f>
        <v>23.24943029708972</v>
      </c>
      <c r="D314" s="70">
        <f>D297*(D63-$D$3)/(D55-$D$3)</f>
        <v>-42.69374596480257</v>
      </c>
      <c r="E314" s="70">
        <f>E297*(E63-$D$3)/(E55-$D$3)</f>
        <v>-12.459477050554172</v>
      </c>
      <c r="F314" s="70">
        <f>F297*(F63-$D$3)/(F55-$D$3)</f>
        <v>-15.361988045652035</v>
      </c>
      <c r="G314" s="70">
        <f>G297*(G63-$D$3)/(G55-$D$3)</f>
        <v>-63.1163880826387</v>
      </c>
      <c r="H314" s="70">
        <f>H297*(H63-$D$3)/(H55-$D$3)</f>
        <v>41.88221208122846</v>
      </c>
      <c r="I314" s="70">
        <f>I297*(I63-$D$3)/(I55-$D$3)</f>
        <v>19.13532513822191</v>
      </c>
      <c r="J314" s="70">
        <f>J297*(J63-$D$3)/(J55-$D$3)</f>
        <v>14.088415025959286</v>
      </c>
      <c r="K314" s="70">
        <f>K297*(K63-$D$3)/(K55-$D$3)</f>
        <v>12.198532079104114</v>
      </c>
      <c r="L314" s="70">
        <f>L297*(L63-$D$3)/(L55-$D$3)</f>
        <v>11.149282082122822</v>
      </c>
      <c r="M314" s="70">
        <f>M297*(M63-$D$3)/(M55-$D$3)</f>
        <v>10.390060214414536</v>
      </c>
      <c r="N314" s="70">
        <f>N297*(N63-$D$3)/(N55-$D$3)</f>
        <v>10.036526205039214</v>
      </c>
      <c r="O314" s="70">
        <f>O297*(O63-$D$3)/(O55-$D$3)</f>
        <v>10.11474630653399</v>
      </c>
      <c r="P314" s="70">
        <f>P297*(P63-$D$3)/(P55-$D$3)</f>
        <v>10.242520304988432</v>
      </c>
      <c r="Q314" s="70">
        <f>Q297*(Q63-$D$3)/(Q55-$D$3)</f>
        <v>10.008688564874657</v>
      </c>
      <c r="R314" s="70">
        <f>R297*(R63-$D$3)/(R55-$D$3)</f>
        <v>9.465364226713003</v>
      </c>
      <c r="S314" s="70">
        <f>S297*(S63-$D$3)/(S55-$D$3)</f>
        <v>9.027407092069451</v>
      </c>
      <c r="T314" s="70">
        <f>T297*(T63-$D$3)/(T55-$D$3)</f>
        <v>8.929330316529896</v>
      </c>
      <c r="U314" s="70">
        <f>U297*(U63-$D$3)/(U55-$D$3)</f>
        <v>9.006050231890995</v>
      </c>
      <c r="V314" s="70">
        <f>V297*(V63-$D$3)/(V55-$D$3)</f>
        <v>9.060411752337235</v>
      </c>
      <c r="W314" s="70">
        <f>W297*(W63-$D$3)/(W55-$D$3)</f>
        <v>9.192253791488232</v>
      </c>
      <c r="X314" s="70">
        <f>X297*(X63-$D$3)/(X55-$D$3)</f>
        <v>9.530202101942026</v>
      </c>
      <c r="Y314" s="70">
        <f>Y297*(Y63-$D$3)/(Y55-$D$3)</f>
        <v>10.031810911885493</v>
      </c>
      <c r="Z314" s="70">
        <f>Z297*(Z63-$D$3)/(Z55-$D$3)</f>
        <v>11.836174579609299</v>
      </c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  <c r="CW314" s="108"/>
      <c r="CX314" s="108"/>
      <c r="CY314" s="108"/>
      <c r="CZ314" s="108"/>
      <c r="DA314" s="108"/>
      <c r="DB314" s="108"/>
      <c r="DC314" s="108"/>
      <c r="DD314" s="108"/>
      <c r="DE314" s="108"/>
      <c r="DF314" s="108"/>
      <c r="DG314" s="108"/>
      <c r="DH314" s="108"/>
      <c r="DI314" s="108"/>
      <c r="DJ314" s="108"/>
      <c r="DK314" s="108"/>
      <c r="DL314" s="108"/>
      <c r="DM314" s="108"/>
      <c r="DN314" s="108"/>
      <c r="DO314" s="108"/>
      <c r="DP314" s="108"/>
      <c r="DQ314" s="108"/>
      <c r="DR314" s="108"/>
      <c r="DS314" s="108"/>
      <c r="DT314" s="108"/>
      <c r="DU314" s="108"/>
      <c r="DV314" s="108"/>
      <c r="DW314" s="108"/>
      <c r="DX314" s="108"/>
      <c r="DY314" s="108"/>
      <c r="DZ314" s="108"/>
      <c r="EA314" s="108"/>
      <c r="EB314" s="108"/>
      <c r="EC314" s="108"/>
      <c r="ED314" s="108"/>
      <c r="EE314" s="108"/>
      <c r="EF314" s="108"/>
      <c r="EG314" s="108"/>
      <c r="EH314" s="108"/>
      <c r="EI314" s="108"/>
      <c r="EJ314" s="108"/>
      <c r="EK314" s="108"/>
      <c r="EL314" s="108"/>
      <c r="EM314" s="108"/>
      <c r="EN314" s="108"/>
      <c r="EO314" s="108"/>
      <c r="EP314" s="108"/>
      <c r="EQ314" s="108"/>
      <c r="ER314" s="108"/>
      <c r="ES314" s="108"/>
      <c r="ET314" s="108"/>
      <c r="EU314" s="108"/>
      <c r="EV314" s="108"/>
      <c r="EW314" s="108"/>
      <c r="EX314" s="108"/>
      <c r="EY314" s="108"/>
      <c r="EZ314" s="108"/>
      <c r="FA314" s="108"/>
      <c r="FB314" s="108"/>
      <c r="FC314" s="108"/>
      <c r="FD314" s="108"/>
      <c r="FE314" s="108"/>
      <c r="FF314" s="108"/>
      <c r="FG314" s="108"/>
      <c r="FH314" s="108"/>
      <c r="FI314" s="108"/>
      <c r="FJ314" s="108"/>
      <c r="FK314" s="108"/>
      <c r="FL314" s="108"/>
      <c r="FM314" s="108"/>
      <c r="FN314" s="108"/>
      <c r="FO314" s="108"/>
      <c r="FP314" s="108"/>
      <c r="FQ314" s="108"/>
      <c r="FR314" s="108"/>
      <c r="FS314" s="108"/>
      <c r="FT314" s="108"/>
      <c r="FU314" s="108"/>
      <c r="FV314" s="108"/>
      <c r="FW314" s="108"/>
      <c r="FX314" s="108"/>
      <c r="FY314" s="108"/>
      <c r="FZ314" s="108"/>
      <c r="GA314" s="108"/>
      <c r="GB314" s="108"/>
      <c r="GC314" s="108"/>
      <c r="GD314" s="108"/>
      <c r="GE314" s="108"/>
      <c r="GF314" s="108"/>
      <c r="GG314" s="108"/>
      <c r="GH314" s="108"/>
      <c r="GI314" s="108"/>
      <c r="GJ314" s="108"/>
      <c r="GK314" s="108"/>
      <c r="GL314" s="108"/>
      <c r="GM314" s="108"/>
      <c r="GN314" s="108"/>
      <c r="GO314" s="108"/>
      <c r="GP314" s="108"/>
      <c r="GQ314" s="108"/>
      <c r="GR314" s="108"/>
      <c r="GS314" s="108"/>
      <c r="GT314" s="108"/>
      <c r="GU314" s="108"/>
      <c r="GV314" s="108"/>
      <c r="GW314" s="108"/>
      <c r="GX314" s="108"/>
      <c r="GY314" s="108"/>
      <c r="GZ314" s="108"/>
      <c r="HA314" s="108"/>
      <c r="HB314" s="108"/>
      <c r="HC314" s="108"/>
      <c r="HD314" s="108"/>
      <c r="HE314" s="108"/>
      <c r="HF314" s="108"/>
      <c r="HG314" s="108"/>
      <c r="HH314" s="108"/>
      <c r="HI314" s="108"/>
      <c r="HJ314" s="108"/>
      <c r="HK314" s="108"/>
      <c r="HL314" s="108"/>
      <c r="HM314" s="108"/>
      <c r="HN314" s="108"/>
      <c r="HO314" s="108"/>
      <c r="HP314" s="108"/>
      <c r="HQ314" s="108"/>
      <c r="HR314" s="108"/>
      <c r="HS314" s="108"/>
      <c r="HT314" s="108"/>
      <c r="HU314" s="108"/>
      <c r="HV314" s="108"/>
      <c r="HW314" s="108"/>
      <c r="HX314" s="108"/>
      <c r="HY314" s="108"/>
      <c r="HZ314" s="108"/>
      <c r="IA314" s="108"/>
      <c r="IB314" s="108"/>
      <c r="IC314" s="108"/>
      <c r="ID314" s="108"/>
      <c r="IE314" s="108"/>
      <c r="IF314" s="108"/>
      <c r="IG314" s="108"/>
      <c r="IH314" s="108"/>
      <c r="II314" s="108"/>
      <c r="IJ314" s="108"/>
      <c r="IK314" s="108"/>
      <c r="IL314" s="108"/>
      <c r="IM314" s="108"/>
      <c r="IN314" s="108"/>
      <c r="IO314" s="108"/>
      <c r="IP314" s="108"/>
      <c r="IQ314" s="108"/>
      <c r="IR314" s="108"/>
      <c r="IS314" s="108"/>
      <c r="IT314" s="108"/>
      <c r="IU314" s="108"/>
      <c r="IV314" s="108"/>
    </row>
    <row r="315" spans="1:256" ht="11.25" customHeight="1">
      <c r="A315" t="s">
        <v>268</v>
      </c>
      <c r="B315" s="70">
        <f>B300</f>
        <v>-8.104638085889427</v>
      </c>
      <c r="C315" s="70">
        <f>C300</f>
        <v>-12.174464151828873</v>
      </c>
      <c r="D315" s="70">
        <f>D300</f>
        <v>-15.101436904639415</v>
      </c>
      <c r="E315" s="70">
        <f>E300</f>
        <v>-16.84947821958113</v>
      </c>
      <c r="F315" s="70">
        <f>F300</f>
        <v>-17.030838728436162</v>
      </c>
      <c r="G315" s="70">
        <f>G300</f>
        <v>-15.32015534691661</v>
      </c>
      <c r="H315" s="70">
        <f>H300</f>
        <v>-12.519187887499175</v>
      </c>
      <c r="I315" s="70">
        <f>I300</f>
        <v>-9.79714821820592</v>
      </c>
      <c r="J315" s="70">
        <f>J300</f>
        <v>-7.529516602551911</v>
      </c>
      <c r="K315" s="70">
        <f>K300</f>
        <v>-5.596829113348856</v>
      </c>
      <c r="L315" s="70">
        <f>L300</f>
        <v>-4.044239440272899</v>
      </c>
      <c r="M315" s="70">
        <f>M300</f>
        <v>-2.914981334957084</v>
      </c>
      <c r="N315" s="70">
        <f>N300</f>
        <v>-2.0354913500003646</v>
      </c>
      <c r="O315" s="70">
        <f>O300</f>
        <v>-1.2993982820112324</v>
      </c>
      <c r="P315" s="70">
        <f>P300</f>
        <v>-0.7974388461191193</v>
      </c>
      <c r="Q315" s="70">
        <f>Q300</f>
        <v>-0.5652133742955534</v>
      </c>
      <c r="R315" s="70">
        <f>R300</f>
        <v>-0.4780279718690041</v>
      </c>
      <c r="S315" s="70">
        <f>S300</f>
        <v>-0.42460815445918554</v>
      </c>
      <c r="T315" s="70">
        <f>T300</f>
        <v>-0.40705054756939973</v>
      </c>
      <c r="U315" s="70">
        <f>U300</f>
        <v>-0.4796343028797838</v>
      </c>
      <c r="V315" s="70">
        <f>V300</f>
        <v>-0.7053317863742834</v>
      </c>
      <c r="W315" s="70">
        <f>W300</f>
        <v>-1.1576553659120818</v>
      </c>
      <c r="X315" s="70">
        <f>X300</f>
        <v>-2.062903239461445</v>
      </c>
      <c r="Y315" s="70">
        <f>Y300</f>
        <v>-4.2151749509520675</v>
      </c>
      <c r="Z315" s="70">
        <f>Z300</f>
        <v>-8.104638085889428</v>
      </c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  <c r="CW315" s="108"/>
      <c r="CX315" s="108"/>
      <c r="CY315" s="108"/>
      <c r="CZ315" s="108"/>
      <c r="DA315" s="108"/>
      <c r="DB315" s="108"/>
      <c r="DC315" s="108"/>
      <c r="DD315" s="108"/>
      <c r="DE315" s="108"/>
      <c r="DF315" s="108"/>
      <c r="DG315" s="108"/>
      <c r="DH315" s="108"/>
      <c r="DI315" s="108"/>
      <c r="DJ315" s="108"/>
      <c r="DK315" s="108"/>
      <c r="DL315" s="108"/>
      <c r="DM315" s="108"/>
      <c r="DN315" s="108"/>
      <c r="DO315" s="108"/>
      <c r="DP315" s="108"/>
      <c r="DQ315" s="108"/>
      <c r="DR315" s="108"/>
      <c r="DS315" s="108"/>
      <c r="DT315" s="108"/>
      <c r="DU315" s="108"/>
      <c r="DV315" s="108"/>
      <c r="DW315" s="108"/>
      <c r="DX315" s="108"/>
      <c r="DY315" s="108"/>
      <c r="DZ315" s="108"/>
      <c r="EA315" s="108"/>
      <c r="EB315" s="108"/>
      <c r="EC315" s="108"/>
      <c r="ED315" s="108"/>
      <c r="EE315" s="108"/>
      <c r="EF315" s="108"/>
      <c r="EG315" s="108"/>
      <c r="EH315" s="108"/>
      <c r="EI315" s="108"/>
      <c r="EJ315" s="108"/>
      <c r="EK315" s="108"/>
      <c r="EL315" s="108"/>
      <c r="EM315" s="108"/>
      <c r="EN315" s="108"/>
      <c r="EO315" s="108"/>
      <c r="EP315" s="108"/>
      <c r="EQ315" s="108"/>
      <c r="ER315" s="108"/>
      <c r="ES315" s="108"/>
      <c r="ET315" s="108"/>
      <c r="EU315" s="108"/>
      <c r="EV315" s="108"/>
      <c r="EW315" s="108"/>
      <c r="EX315" s="108"/>
      <c r="EY315" s="108"/>
      <c r="EZ315" s="108"/>
      <c r="FA315" s="108"/>
      <c r="FB315" s="108"/>
      <c r="FC315" s="108"/>
      <c r="FD315" s="108"/>
      <c r="FE315" s="108"/>
      <c r="FF315" s="108"/>
      <c r="FG315" s="108"/>
      <c r="FH315" s="108"/>
      <c r="FI315" s="108"/>
      <c r="FJ315" s="108"/>
      <c r="FK315" s="108"/>
      <c r="FL315" s="108"/>
      <c r="FM315" s="108"/>
      <c r="FN315" s="108"/>
      <c r="FO315" s="108"/>
      <c r="FP315" s="108"/>
      <c r="FQ315" s="108"/>
      <c r="FR315" s="108"/>
      <c r="FS315" s="108"/>
      <c r="FT315" s="108"/>
      <c r="FU315" s="108"/>
      <c r="FV315" s="108"/>
      <c r="FW315" s="108"/>
      <c r="FX315" s="108"/>
      <c r="FY315" s="108"/>
      <c r="FZ315" s="108"/>
      <c r="GA315" s="108"/>
      <c r="GB315" s="108"/>
      <c r="GC315" s="108"/>
      <c r="GD315" s="108"/>
      <c r="GE315" s="108"/>
      <c r="GF315" s="108"/>
      <c r="GG315" s="108"/>
      <c r="GH315" s="108"/>
      <c r="GI315" s="108"/>
      <c r="GJ315" s="108"/>
      <c r="GK315" s="108"/>
      <c r="GL315" s="108"/>
      <c r="GM315" s="108"/>
      <c r="GN315" s="108"/>
      <c r="GO315" s="108"/>
      <c r="GP315" s="108"/>
      <c r="GQ315" s="108"/>
      <c r="GR315" s="108"/>
      <c r="GS315" s="108"/>
      <c r="GT315" s="108"/>
      <c r="GU315" s="108"/>
      <c r="GV315" s="108"/>
      <c r="GW315" s="108"/>
      <c r="GX315" s="108"/>
      <c r="GY315" s="108"/>
      <c r="GZ315" s="108"/>
      <c r="HA315" s="108"/>
      <c r="HB315" s="108"/>
      <c r="HC315" s="108"/>
      <c r="HD315" s="108"/>
      <c r="HE315" s="108"/>
      <c r="HF315" s="108"/>
      <c r="HG315" s="108"/>
      <c r="HH315" s="108"/>
      <c r="HI315" s="108"/>
      <c r="HJ315" s="108"/>
      <c r="HK315" s="108"/>
      <c r="HL315" s="108"/>
      <c r="HM315" s="108"/>
      <c r="HN315" s="108"/>
      <c r="HO315" s="108"/>
      <c r="HP315" s="108"/>
      <c r="HQ315" s="108"/>
      <c r="HR315" s="108"/>
      <c r="HS315" s="108"/>
      <c r="HT315" s="108"/>
      <c r="HU315" s="108"/>
      <c r="HV315" s="108"/>
      <c r="HW315" s="108"/>
      <c r="HX315" s="108"/>
      <c r="HY315" s="108"/>
      <c r="HZ315" s="108"/>
      <c r="IA315" s="108"/>
      <c r="IB315" s="108"/>
      <c r="IC315" s="108"/>
      <c r="ID315" s="108"/>
      <c r="IE315" s="108"/>
      <c r="IF315" s="108"/>
      <c r="IG315" s="108"/>
      <c r="IH315" s="108"/>
      <c r="II315" s="108"/>
      <c r="IJ315" s="108"/>
      <c r="IK315" s="108"/>
      <c r="IL315" s="108"/>
      <c r="IM315" s="108"/>
      <c r="IN315" s="108"/>
      <c r="IO315" s="108"/>
      <c r="IP315" s="108"/>
      <c r="IQ315" s="108"/>
      <c r="IR315" s="108"/>
      <c r="IS315" s="108"/>
      <c r="IT315" s="108"/>
      <c r="IU315" s="108"/>
      <c r="IV315" s="108"/>
    </row>
    <row r="316" spans="1:256" ht="11.25" customHeight="1">
      <c r="A316" s="12" t="s">
        <v>317</v>
      </c>
      <c r="B316" s="70">
        <f>B313*B57+B314*B58+B315*B39-(B228+B229+B236+B237)-B266</f>
        <v>-5.995204332975845E-15</v>
      </c>
      <c r="C316" s="70">
        <f>C313*C57+C314*C58+C315*C39-(C228+C229+C236+C237)-C266</f>
        <v>-2.6645352591003757E-14</v>
      </c>
      <c r="D316" s="70">
        <f>D313*D57+D314*D58+D315*D39-(D228+D229+D236+D237)-D266</f>
        <v>2.886579864025407E-14</v>
      </c>
      <c r="E316" s="70">
        <f>E313*E57+E314*E58+E315*E39-(E228+E229+E236+E237)-E266</f>
        <v>-4.107825191113079E-15</v>
      </c>
      <c r="F316" s="70">
        <f>F313*F57+F314*F58+F315*F39-(F228+F229+F236+F237)-F266</f>
        <v>-6.8833827526759706E-15</v>
      </c>
      <c r="G316" s="70">
        <f>G313*G57+G314*G58+G315*G39-(G228+G229+G236+G237)-G266</f>
        <v>4.440892098500626E-15</v>
      </c>
      <c r="H316" s="70">
        <f>H313*H57+H314*H58+H315*H39-(H228+H229+H236+H237)-H266</f>
        <v>0</v>
      </c>
      <c r="I316" s="70">
        <f>I313*I57+I314*I58+I315*I39-(I228+I229+I236+I237)-I266</f>
        <v>7.993605777301127E-15</v>
      </c>
      <c r="J316" s="70">
        <f>J313*J57+J314*J58+J315*J39-(J228+J229+J236+J237)-J266</f>
        <v>-1.6653345369377348E-15</v>
      </c>
      <c r="K316" s="70">
        <f>K313*K57+K314*K58+K315*K39-(K228+K229+K236+K237)-K266</f>
        <v>-3.552713678800501E-15</v>
      </c>
      <c r="L316" s="70">
        <f>L313*L57+L314*L58+L315*L39-(L228+L229+L236+L237)-L266</f>
        <v>9.631184738623233E-15</v>
      </c>
      <c r="M316" s="70">
        <f>M313*M57+M314*M58+M315*M39-(M228+M229+M236+M237)-M266</f>
        <v>0</v>
      </c>
      <c r="N316" s="70">
        <f>N313*N57+N314*N58+N315*N39-(N228+N229+N236+N237)-N266</f>
        <v>3.3306690738754696E-15</v>
      </c>
      <c r="O316" s="70">
        <f>O313*O57+O314*O58+O315*O39-(O228+O229+O236+O237)-O266</f>
        <v>-1.326716514427062E-14</v>
      </c>
      <c r="P316" s="70">
        <f>P313*P57+P314*P58+P315*P39-(P228+P229+P236+P237)-P266</f>
        <v>5.440092820663267E-15</v>
      </c>
      <c r="Q316" s="70">
        <f>Q313*Q57+Q314*Q58+Q315*Q39-(Q228+Q229+Q236+Q237)-Q266</f>
        <v>1.074140776324839E-14</v>
      </c>
      <c r="R316" s="70">
        <f>R313*R57+R314*R58+R315*R39-(R228+R229+R236+R237)-R266</f>
        <v>-3.1086244689504383E-15</v>
      </c>
      <c r="S316" s="70">
        <f>S313*S57+S314*S58+S315*S39-(S228+S229+S236+S237)-S266</f>
        <v>5.995204332975845E-15</v>
      </c>
      <c r="T316" s="70">
        <f>T313*T57+T314*T58+T315*T39-(T228+T229+T236+T237)-T266</f>
        <v>5.828670879282072E-15</v>
      </c>
      <c r="U316" s="70">
        <f>U313*U57+U314*U58+U315*U39-(U228+U229+U236+U237)-U266</f>
        <v>-6.439293542825908E-15</v>
      </c>
      <c r="V316" s="70">
        <f>V313*V57+V314*V58+V315*V39-(V228+V229+V236+V237)-V266</f>
        <v>-6.661338147750939E-15</v>
      </c>
      <c r="W316" s="70">
        <f>W313*W57+W314*W58+W315*W39-(W228+W229+W236+W237)-W266</f>
        <v>0</v>
      </c>
      <c r="X316" s="70">
        <f>X313*X57+X314*X58+X315*X39-(X228+X229+X236+X237)-X266</f>
        <v>0</v>
      </c>
      <c r="Y316" s="70">
        <f>Y313*Y57+Y314*Y58+Y315*Y39-(Y228+Y229+Y236+Y237)-Y266</f>
        <v>1.1102230246251565E-14</v>
      </c>
      <c r="Z316" s="70">
        <f>Z313*Z57+Z314*Z58+Z315*Z39-(Z228+Z229+Z236+Z237)-Z266</f>
        <v>-2.6645352591003757E-15</v>
      </c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  <c r="CW316" s="108"/>
      <c r="CX316" s="108"/>
      <c r="CY316" s="108"/>
      <c r="CZ316" s="108"/>
      <c r="DA316" s="108"/>
      <c r="DB316" s="108"/>
      <c r="DC316" s="108"/>
      <c r="DD316" s="108"/>
      <c r="DE316" s="108"/>
      <c r="DF316" s="108"/>
      <c r="DG316" s="108"/>
      <c r="DH316" s="108"/>
      <c r="DI316" s="108"/>
      <c r="DJ316" s="108"/>
      <c r="DK316" s="108"/>
      <c r="DL316" s="108"/>
      <c r="DM316" s="108"/>
      <c r="DN316" s="108"/>
      <c r="DO316" s="108"/>
      <c r="DP316" s="108"/>
      <c r="DQ316" s="108"/>
      <c r="DR316" s="108"/>
      <c r="DS316" s="108"/>
      <c r="DT316" s="108"/>
      <c r="DU316" s="108"/>
      <c r="DV316" s="108"/>
      <c r="DW316" s="108"/>
      <c r="DX316" s="108"/>
      <c r="DY316" s="108"/>
      <c r="DZ316" s="108"/>
      <c r="EA316" s="108"/>
      <c r="EB316" s="108"/>
      <c r="EC316" s="108"/>
      <c r="ED316" s="108"/>
      <c r="EE316" s="108"/>
      <c r="EF316" s="108"/>
      <c r="EG316" s="108"/>
      <c r="EH316" s="108"/>
      <c r="EI316" s="108"/>
      <c r="EJ316" s="108"/>
      <c r="EK316" s="108"/>
      <c r="EL316" s="108"/>
      <c r="EM316" s="108"/>
      <c r="EN316" s="108"/>
      <c r="EO316" s="108"/>
      <c r="EP316" s="108"/>
      <c r="EQ316" s="108"/>
      <c r="ER316" s="108"/>
      <c r="ES316" s="108"/>
      <c r="ET316" s="108"/>
      <c r="EU316" s="108"/>
      <c r="EV316" s="108"/>
      <c r="EW316" s="108"/>
      <c r="EX316" s="108"/>
      <c r="EY316" s="108"/>
      <c r="EZ316" s="108"/>
      <c r="FA316" s="108"/>
      <c r="FB316" s="108"/>
      <c r="FC316" s="108"/>
      <c r="FD316" s="108"/>
      <c r="FE316" s="108"/>
      <c r="FF316" s="108"/>
      <c r="FG316" s="108"/>
      <c r="FH316" s="108"/>
      <c r="FI316" s="108"/>
      <c r="FJ316" s="108"/>
      <c r="FK316" s="108"/>
      <c r="FL316" s="108"/>
      <c r="FM316" s="108"/>
      <c r="FN316" s="108"/>
      <c r="FO316" s="108"/>
      <c r="FP316" s="108"/>
      <c r="FQ316" s="108"/>
      <c r="FR316" s="108"/>
      <c r="FS316" s="108"/>
      <c r="FT316" s="108"/>
      <c r="FU316" s="108"/>
      <c r="FV316" s="108"/>
      <c r="FW316" s="108"/>
      <c r="FX316" s="108"/>
      <c r="FY316" s="108"/>
      <c r="FZ316" s="108"/>
      <c r="GA316" s="108"/>
      <c r="GB316" s="108"/>
      <c r="GC316" s="108"/>
      <c r="GD316" s="108"/>
      <c r="GE316" s="108"/>
      <c r="GF316" s="108"/>
      <c r="GG316" s="108"/>
      <c r="GH316" s="108"/>
      <c r="GI316" s="108"/>
      <c r="GJ316" s="108"/>
      <c r="GK316" s="108"/>
      <c r="GL316" s="108"/>
      <c r="GM316" s="108"/>
      <c r="GN316" s="108"/>
      <c r="GO316" s="108"/>
      <c r="GP316" s="108"/>
      <c r="GQ316" s="108"/>
      <c r="GR316" s="108"/>
      <c r="GS316" s="108"/>
      <c r="GT316" s="108"/>
      <c r="GU316" s="108"/>
      <c r="GV316" s="108"/>
      <c r="GW316" s="108"/>
      <c r="GX316" s="108"/>
      <c r="GY316" s="108"/>
      <c r="GZ316" s="108"/>
      <c r="HA316" s="108"/>
      <c r="HB316" s="108"/>
      <c r="HC316" s="108"/>
      <c r="HD316" s="108"/>
      <c r="HE316" s="108"/>
      <c r="HF316" s="108"/>
      <c r="HG316" s="108"/>
      <c r="HH316" s="108"/>
      <c r="HI316" s="108"/>
      <c r="HJ316" s="108"/>
      <c r="HK316" s="108"/>
      <c r="HL316" s="108"/>
      <c r="HM316" s="108"/>
      <c r="HN316" s="108"/>
      <c r="HO316" s="108"/>
      <c r="HP316" s="108"/>
      <c r="HQ316" s="108"/>
      <c r="HR316" s="108"/>
      <c r="HS316" s="108"/>
      <c r="HT316" s="108"/>
      <c r="HU316" s="108"/>
      <c r="HV316" s="108"/>
      <c r="HW316" s="108"/>
      <c r="HX316" s="108"/>
      <c r="HY316" s="108"/>
      <c r="HZ316" s="108"/>
      <c r="IA316" s="108"/>
      <c r="IB316" s="108"/>
      <c r="IC316" s="108"/>
      <c r="ID316" s="108"/>
      <c r="IE316" s="108"/>
      <c r="IF316" s="108"/>
      <c r="IG316" s="108"/>
      <c r="IH316" s="108"/>
      <c r="II316" s="108"/>
      <c r="IJ316" s="108"/>
      <c r="IK316" s="108"/>
      <c r="IL316" s="108"/>
      <c r="IM316" s="108"/>
      <c r="IN316" s="108"/>
      <c r="IO316" s="108"/>
      <c r="IP316" s="108"/>
      <c r="IQ316" s="108"/>
      <c r="IR316" s="108"/>
      <c r="IS316" s="108"/>
      <c r="IT316" s="108"/>
      <c r="IU316" s="108"/>
      <c r="IV316" s="108"/>
    </row>
    <row r="317" spans="1:256" ht="11.25" customHeight="1">
      <c r="A317" s="12"/>
      <c r="B317" s="70" t="s">
        <v>331</v>
      </c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  <c r="CW317" s="108"/>
      <c r="CX317" s="108"/>
      <c r="CY317" s="108"/>
      <c r="CZ317" s="108"/>
      <c r="DA317" s="108"/>
      <c r="DB317" s="108"/>
      <c r="DC317" s="108"/>
      <c r="DD317" s="108"/>
      <c r="DE317" s="108"/>
      <c r="DF317" s="108"/>
      <c r="DG317" s="108"/>
      <c r="DH317" s="108"/>
      <c r="DI317" s="108"/>
      <c r="DJ317" s="108"/>
      <c r="DK317" s="108"/>
      <c r="DL317" s="108"/>
      <c r="DM317" s="108"/>
      <c r="DN317" s="108"/>
      <c r="DO317" s="108"/>
      <c r="DP317" s="108"/>
      <c r="DQ317" s="108"/>
      <c r="DR317" s="108"/>
      <c r="DS317" s="108"/>
      <c r="DT317" s="108"/>
      <c r="DU317" s="108"/>
      <c r="DV317" s="108"/>
      <c r="DW317" s="108"/>
      <c r="DX317" s="108"/>
      <c r="DY317" s="108"/>
      <c r="DZ317" s="108"/>
      <c r="EA317" s="108"/>
      <c r="EB317" s="108"/>
      <c r="EC317" s="108"/>
      <c r="ED317" s="108"/>
      <c r="EE317" s="108"/>
      <c r="EF317" s="108"/>
      <c r="EG317" s="108"/>
      <c r="EH317" s="108"/>
      <c r="EI317" s="108"/>
      <c r="EJ317" s="108"/>
      <c r="EK317" s="108"/>
      <c r="EL317" s="108"/>
      <c r="EM317" s="108"/>
      <c r="EN317" s="108"/>
      <c r="EO317" s="108"/>
      <c r="EP317" s="108"/>
      <c r="EQ317" s="108"/>
      <c r="ER317" s="108"/>
      <c r="ES317" s="108"/>
      <c r="ET317" s="108"/>
      <c r="EU317" s="108"/>
      <c r="EV317" s="108"/>
      <c r="EW317" s="108"/>
      <c r="EX317" s="108"/>
      <c r="EY317" s="108"/>
      <c r="EZ317" s="108"/>
      <c r="FA317" s="108"/>
      <c r="FB317" s="108"/>
      <c r="FC317" s="108"/>
      <c r="FD317" s="108"/>
      <c r="FE317" s="108"/>
      <c r="FF317" s="108"/>
      <c r="FG317" s="108"/>
      <c r="FH317" s="108"/>
      <c r="FI317" s="108"/>
      <c r="FJ317" s="108"/>
      <c r="FK317" s="108"/>
      <c r="FL317" s="108"/>
      <c r="FM317" s="108"/>
      <c r="FN317" s="108"/>
      <c r="FO317" s="108"/>
      <c r="FP317" s="108"/>
      <c r="FQ317" s="108"/>
      <c r="FR317" s="108"/>
      <c r="FS317" s="108"/>
      <c r="FT317" s="108"/>
      <c r="FU317" s="108"/>
      <c r="FV317" s="108"/>
      <c r="FW317" s="108"/>
      <c r="FX317" s="108"/>
      <c r="FY317" s="108"/>
      <c r="FZ317" s="108"/>
      <c r="GA317" s="108"/>
      <c r="GB317" s="108"/>
      <c r="GC317" s="108"/>
      <c r="GD317" s="108"/>
      <c r="GE317" s="108"/>
      <c r="GF317" s="108"/>
      <c r="GG317" s="108"/>
      <c r="GH317" s="108"/>
      <c r="GI317" s="108"/>
      <c r="GJ317" s="108"/>
      <c r="GK317" s="108"/>
      <c r="GL317" s="108"/>
      <c r="GM317" s="108"/>
      <c r="GN317" s="108"/>
      <c r="GO317" s="108"/>
      <c r="GP317" s="108"/>
      <c r="GQ317" s="108"/>
      <c r="GR317" s="108"/>
      <c r="GS317" s="108"/>
      <c r="GT317" s="108"/>
      <c r="GU317" s="108"/>
      <c r="GV317" s="108"/>
      <c r="GW317" s="108"/>
      <c r="GX317" s="108"/>
      <c r="GY317" s="108"/>
      <c r="GZ317" s="108"/>
      <c r="HA317" s="108"/>
      <c r="HB317" s="108"/>
      <c r="HC317" s="108"/>
      <c r="HD317" s="108"/>
      <c r="HE317" s="108"/>
      <c r="HF317" s="108"/>
      <c r="HG317" s="108"/>
      <c r="HH317" s="108"/>
      <c r="HI317" s="108"/>
      <c r="HJ317" s="108"/>
      <c r="HK317" s="108"/>
      <c r="HL317" s="108"/>
      <c r="HM317" s="108"/>
      <c r="HN317" s="108"/>
      <c r="HO317" s="108"/>
      <c r="HP317" s="108"/>
      <c r="HQ317" s="108"/>
      <c r="HR317" s="108"/>
      <c r="HS317" s="108"/>
      <c r="HT317" s="108"/>
      <c r="HU317" s="108"/>
      <c r="HV317" s="108"/>
      <c r="HW317" s="108"/>
      <c r="HX317" s="108"/>
      <c r="HY317" s="108"/>
      <c r="HZ317" s="108"/>
      <c r="IA317" s="108"/>
      <c r="IB317" s="108"/>
      <c r="IC317" s="108"/>
      <c r="ID317" s="108"/>
      <c r="IE317" s="108"/>
      <c r="IF317" s="108"/>
      <c r="IG317" s="108"/>
      <c r="IH317" s="108"/>
      <c r="II317" s="108"/>
      <c r="IJ317" s="108"/>
      <c r="IK317" s="108"/>
      <c r="IL317" s="108"/>
      <c r="IM317" s="108"/>
      <c r="IN317" s="108"/>
      <c r="IO317" s="108"/>
      <c r="IP317" s="108"/>
      <c r="IQ317" s="108"/>
      <c r="IR317" s="108"/>
      <c r="IS317" s="108"/>
      <c r="IT317" s="108"/>
      <c r="IU317" s="108"/>
      <c r="IV317" s="108"/>
    </row>
    <row r="318" spans="1:256" ht="11.25" customHeight="1">
      <c r="A318" s="44" t="s">
        <v>266</v>
      </c>
      <c r="B318" s="70">
        <f>B303*(B91-$D$4)/(B56-$D$4)</f>
        <v>2.0970385041991</v>
      </c>
      <c r="C318" s="70">
        <f>C303*(C91-$D$4)/(C56-$D$4)</f>
        <v>0.09384224908321687</v>
      </c>
      <c r="D318" s="70">
        <f>D303*(D91-$D$4)/(D56-$D$4)</f>
        <v>-2.2302989381240277</v>
      </c>
      <c r="E318" s="70">
        <f>E303*(E91-$D$4)/(E56-$D$4)</f>
        <v>-0.8183665174393256</v>
      </c>
      <c r="F318" s="70">
        <f>F303*(F91-$D$4)/(F56-$D$4)</f>
        <v>-0.387158715391456</v>
      </c>
      <c r="G318" s="70">
        <f>G303*(G91-$D$4)/(G56-$D$4)</f>
        <v>-1.7220457899803256</v>
      </c>
      <c r="H318" s="70">
        <f>H303*(H91-$D$4)/(H56-$D$4)</f>
        <v>0.7389921641630716</v>
      </c>
      <c r="I318" s="70">
        <f>I303*(I91-$D$4)/(I56-$D$4)</f>
        <v>3.011402765264062</v>
      </c>
      <c r="J318" s="70">
        <f>J303*(J91-$D$4)/(J56-$D$4)</f>
        <v>1.1476290649424374</v>
      </c>
      <c r="K318" s="70">
        <f>K303*(K91-$D$4)/(K56-$D$4)</f>
        <v>0.7933531550144051</v>
      </c>
      <c r="L318" s="70">
        <f>L303*(L91-$D$4)/(L56-$D$4)</f>
        <v>1.6726710124024289</v>
      </c>
      <c r="M318" s="70">
        <f>M303*(M91-$D$4)/(M56-$D$4)</f>
        <v>-1.4545547169482864</v>
      </c>
      <c r="N318" s="70">
        <f>N303*(N91-$D$4)/(N56-$D$4)</f>
        <v>-3.5474582262032195</v>
      </c>
      <c r="O318" s="70">
        <f>O303*(O91-$D$4)/(O56-$D$4)</f>
        <v>-0.8169037137488124</v>
      </c>
      <c r="P318" s="70">
        <f>P303*(P91-$D$4)/(P56-$D$4)</f>
        <v>0.4905270985342622</v>
      </c>
      <c r="Q318" s="70">
        <f>Q303*(Q91-$D$4)/(Q56-$D$4)</f>
        <v>0.5528759037412878</v>
      </c>
      <c r="R318" s="70">
        <f>R303*(R91-$D$4)/(R56-$D$4)</f>
        <v>3.2435033142102836</v>
      </c>
      <c r="S318" s="70">
        <f>S303*(S91-$D$4)/(S56-$D$4)</f>
        <v>4.2624089873350455</v>
      </c>
      <c r="T318" s="70">
        <f>T303*(T91-$D$4)/(T56-$D$4)</f>
        <v>1.1414001022512692</v>
      </c>
      <c r="U318" s="70">
        <f>U303*(U91-$D$4)/(U56-$D$4)</f>
        <v>-2.1739204062702524</v>
      </c>
      <c r="V318" s="70">
        <f>V303*(V91-$D$4)/(V56-$D$4)</f>
        <v>-1.9842738854665944</v>
      </c>
      <c r="W318" s="70">
        <f>W303*(W91-$D$4)/(W56-$D$4)</f>
        <v>-1.0442372537911322</v>
      </c>
      <c r="X318" s="70">
        <f>X303*(X91-$D$4)/(X56-$D$4)</f>
        <v>-2.8960730288669936</v>
      </c>
      <c r="Y318" s="70">
        <f>Y303*(Y91-$D$4)/(Y56-$D$4)</f>
        <v>-3.6386250669235967</v>
      </c>
      <c r="Z318" s="70">
        <f>Z303*(Z91-$D$4)/(Z56-$D$4)</f>
        <v>-2.740027982628659</v>
      </c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8"/>
      <c r="CX318" s="108"/>
      <c r="CY318" s="108"/>
      <c r="CZ318" s="108"/>
      <c r="DA318" s="108"/>
      <c r="DB318" s="108"/>
      <c r="DC318" s="108"/>
      <c r="DD318" s="108"/>
      <c r="DE318" s="108"/>
      <c r="DF318" s="108"/>
      <c r="DG318" s="108"/>
      <c r="DH318" s="108"/>
      <c r="DI318" s="108"/>
      <c r="DJ318" s="108"/>
      <c r="DK318" s="108"/>
      <c r="DL318" s="108"/>
      <c r="DM318" s="108"/>
      <c r="DN318" s="108"/>
      <c r="DO318" s="108"/>
      <c r="DP318" s="108"/>
      <c r="DQ318" s="108"/>
      <c r="DR318" s="108"/>
      <c r="DS318" s="108"/>
      <c r="DT318" s="108"/>
      <c r="DU318" s="108"/>
      <c r="DV318" s="108"/>
      <c r="DW318" s="108"/>
      <c r="DX318" s="108"/>
      <c r="DY318" s="108"/>
      <c r="DZ318" s="108"/>
      <c r="EA318" s="108"/>
      <c r="EB318" s="108"/>
      <c r="EC318" s="108"/>
      <c r="ED318" s="108"/>
      <c r="EE318" s="108"/>
      <c r="EF318" s="108"/>
      <c r="EG318" s="108"/>
      <c r="EH318" s="108"/>
      <c r="EI318" s="108"/>
      <c r="EJ318" s="108"/>
      <c r="EK318" s="108"/>
      <c r="EL318" s="108"/>
      <c r="EM318" s="108"/>
      <c r="EN318" s="108"/>
      <c r="EO318" s="108"/>
      <c r="EP318" s="108"/>
      <c r="EQ318" s="108"/>
      <c r="ER318" s="108"/>
      <c r="ES318" s="108"/>
      <c r="ET318" s="108"/>
      <c r="EU318" s="108"/>
      <c r="EV318" s="108"/>
      <c r="EW318" s="108"/>
      <c r="EX318" s="108"/>
      <c r="EY318" s="108"/>
      <c r="EZ318" s="108"/>
      <c r="FA318" s="108"/>
      <c r="FB318" s="108"/>
      <c r="FC318" s="108"/>
      <c r="FD318" s="108"/>
      <c r="FE318" s="108"/>
      <c r="FF318" s="108"/>
      <c r="FG318" s="108"/>
      <c r="FH318" s="108"/>
      <c r="FI318" s="108"/>
      <c r="FJ318" s="108"/>
      <c r="FK318" s="108"/>
      <c r="FL318" s="108"/>
      <c r="FM318" s="108"/>
      <c r="FN318" s="108"/>
      <c r="FO318" s="108"/>
      <c r="FP318" s="108"/>
      <c r="FQ318" s="108"/>
      <c r="FR318" s="108"/>
      <c r="FS318" s="108"/>
      <c r="FT318" s="108"/>
      <c r="FU318" s="108"/>
      <c r="FV318" s="108"/>
      <c r="FW318" s="108"/>
      <c r="FX318" s="108"/>
      <c r="FY318" s="108"/>
      <c r="FZ318" s="108"/>
      <c r="GA318" s="108"/>
      <c r="GB318" s="108"/>
      <c r="GC318" s="108"/>
      <c r="GD318" s="108"/>
      <c r="GE318" s="108"/>
      <c r="GF318" s="108"/>
      <c r="GG318" s="108"/>
      <c r="GH318" s="108"/>
      <c r="GI318" s="108"/>
      <c r="GJ318" s="108"/>
      <c r="GK318" s="108"/>
      <c r="GL318" s="108"/>
      <c r="GM318" s="108"/>
      <c r="GN318" s="108"/>
      <c r="GO318" s="108"/>
      <c r="GP318" s="108"/>
      <c r="GQ318" s="108"/>
      <c r="GR318" s="108"/>
      <c r="GS318" s="108"/>
      <c r="GT318" s="108"/>
      <c r="GU318" s="108"/>
      <c r="GV318" s="108"/>
      <c r="GW318" s="108"/>
      <c r="GX318" s="108"/>
      <c r="GY318" s="108"/>
      <c r="GZ318" s="108"/>
      <c r="HA318" s="108"/>
      <c r="HB318" s="108"/>
      <c r="HC318" s="108"/>
      <c r="HD318" s="108"/>
      <c r="HE318" s="108"/>
      <c r="HF318" s="108"/>
      <c r="HG318" s="108"/>
      <c r="HH318" s="108"/>
      <c r="HI318" s="108"/>
      <c r="HJ318" s="108"/>
      <c r="HK318" s="108"/>
      <c r="HL318" s="108"/>
      <c r="HM318" s="108"/>
      <c r="HN318" s="108"/>
      <c r="HO318" s="108"/>
      <c r="HP318" s="108"/>
      <c r="HQ318" s="108"/>
      <c r="HR318" s="108"/>
      <c r="HS318" s="108"/>
      <c r="HT318" s="108"/>
      <c r="HU318" s="108"/>
      <c r="HV318" s="108"/>
      <c r="HW318" s="108"/>
      <c r="HX318" s="108"/>
      <c r="HY318" s="108"/>
      <c r="HZ318" s="108"/>
      <c r="IA318" s="108"/>
      <c r="IB318" s="108"/>
      <c r="IC318" s="108"/>
      <c r="ID318" s="108"/>
      <c r="IE318" s="108"/>
      <c r="IF318" s="108"/>
      <c r="IG318" s="108"/>
      <c r="IH318" s="108"/>
      <c r="II318" s="108"/>
      <c r="IJ318" s="108"/>
      <c r="IK318" s="108"/>
      <c r="IL318" s="108"/>
      <c r="IM318" s="108"/>
      <c r="IN318" s="108"/>
      <c r="IO318" s="108"/>
      <c r="IP318" s="108"/>
      <c r="IQ318" s="108"/>
      <c r="IR318" s="108"/>
      <c r="IS318" s="108"/>
      <c r="IT318" s="108"/>
      <c r="IU318" s="108"/>
      <c r="IV318" s="108"/>
    </row>
    <row r="319" spans="1:256" ht="11.25" customHeight="1">
      <c r="A319" s="44" t="s">
        <v>267</v>
      </c>
      <c r="B319" s="70">
        <f>B304*(B90-$D$3)/(B55-$D$3)</f>
        <v>3.8828947060161</v>
      </c>
      <c r="C319" s="70">
        <f>C304*(C90-$D$3)/(C55-$D$3)</f>
        <v>11.285902656783309</v>
      </c>
      <c r="D319" s="70">
        <f>D304*(D90-$D$3)/(D55-$D$3)</f>
        <v>-30.997495380810733</v>
      </c>
      <c r="E319" s="70">
        <f>E304*(E90-$D$3)/(E55-$D$3)</f>
        <v>-11.912885944917758</v>
      </c>
      <c r="F319" s="70">
        <f>F304*(F90-$D$3)/(F55-$D$3)</f>
        <v>-13.044602003580833</v>
      </c>
      <c r="G319" s="70">
        <f>G304*(G90-$D$3)/(G55-$D$3)</f>
        <v>-37.64069096709876</v>
      </c>
      <c r="H319" s="70">
        <f>H304*(H90-$D$3)/(H55-$D$3)</f>
        <v>18.560800711348655</v>
      </c>
      <c r="I319" s="70">
        <f>I304*(I90-$D$3)/(I55-$D$3)</f>
        <v>6.746348580391258</v>
      </c>
      <c r="J319" s="70">
        <f>J304*(J90-$D$3)/(J55-$D$3)</f>
        <v>3.9579985399303514</v>
      </c>
      <c r="K319" s="70">
        <f>K304*(K90-$D$3)/(K55-$D$3)</f>
        <v>2.8693949738155307</v>
      </c>
      <c r="L319" s="70">
        <f>L304*(L90-$D$3)/(L55-$D$3)</f>
        <v>2.3572318534029177</v>
      </c>
      <c r="M319" s="70">
        <f>M304*(M90-$D$3)/(M55-$D$3)</f>
        <v>2.0315856812447</v>
      </c>
      <c r="N319" s="70">
        <f>N304*(N90-$D$3)/(N55-$D$3)</f>
        <v>1.8713985625918177</v>
      </c>
      <c r="O319" s="70">
        <f>O304*(O90-$D$3)/(O55-$D$3)</f>
        <v>1.8488317179682978</v>
      </c>
      <c r="P319" s="70">
        <f>P304*(P90-$D$3)/(P55-$D$3)</f>
        <v>1.8536804544725147</v>
      </c>
      <c r="Q319" s="70">
        <f>Q304*(Q90-$D$3)/(Q55-$D$3)</f>
        <v>1.8722785308444636</v>
      </c>
      <c r="R319" s="70">
        <f>R304*(R90-$D$3)/(R55-$D$3)</f>
        <v>1.9199217639777795</v>
      </c>
      <c r="S319" s="70">
        <f>S304*(S90-$D$3)/(S55-$D$3)</f>
        <v>1.9448561168929164</v>
      </c>
      <c r="T319" s="70">
        <f>T304*(T90-$D$3)/(T55-$D$3)</f>
        <v>1.9170697106033112</v>
      </c>
      <c r="U319" s="70">
        <f>U304*(U90-$D$3)/(U55-$D$3)</f>
        <v>1.8580478944802223</v>
      </c>
      <c r="V319" s="70">
        <f>V304*(V90-$D$3)/(V55-$D$3)</f>
        <v>1.8031742718442467</v>
      </c>
      <c r="W319" s="70">
        <f>W304*(W90-$D$3)/(W55-$D$3)</f>
        <v>1.7726191262612732</v>
      </c>
      <c r="X319" s="70">
        <f>X304*(X90-$D$3)/(X55-$D$3)</f>
        <v>1.8289373437319876</v>
      </c>
      <c r="Y319" s="70">
        <f>Y304*(Y90-$D$3)/(Y55-$D$3)</f>
        <v>2.2387224402529573</v>
      </c>
      <c r="Z319" s="70">
        <f>Z304*(Z90-$D$3)/(Z55-$D$3)</f>
        <v>3.7262355783734122</v>
      </c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  <c r="DJ319" s="108"/>
      <c r="DK319" s="108"/>
      <c r="DL319" s="108"/>
      <c r="DM319" s="108"/>
      <c r="DN319" s="108"/>
      <c r="DO319" s="108"/>
      <c r="DP319" s="108"/>
      <c r="DQ319" s="108"/>
      <c r="DR319" s="108"/>
      <c r="DS319" s="108"/>
      <c r="DT319" s="108"/>
      <c r="DU319" s="108"/>
      <c r="DV319" s="108"/>
      <c r="DW319" s="108"/>
      <c r="DX319" s="108"/>
      <c r="DY319" s="108"/>
      <c r="DZ319" s="108"/>
      <c r="EA319" s="108"/>
      <c r="EB319" s="108"/>
      <c r="EC319" s="108"/>
      <c r="ED319" s="108"/>
      <c r="EE319" s="108"/>
      <c r="EF319" s="108"/>
      <c r="EG319" s="108"/>
      <c r="EH319" s="108"/>
      <c r="EI319" s="108"/>
      <c r="EJ319" s="108"/>
      <c r="EK319" s="108"/>
      <c r="EL319" s="108"/>
      <c r="EM319" s="108"/>
      <c r="EN319" s="108"/>
      <c r="EO319" s="108"/>
      <c r="EP319" s="108"/>
      <c r="EQ319" s="108"/>
      <c r="ER319" s="108"/>
      <c r="ES319" s="108"/>
      <c r="ET319" s="108"/>
      <c r="EU319" s="108"/>
      <c r="EV319" s="108"/>
      <c r="EW319" s="108"/>
      <c r="EX319" s="108"/>
      <c r="EY319" s="108"/>
      <c r="EZ319" s="108"/>
      <c r="FA319" s="108"/>
      <c r="FB319" s="108"/>
      <c r="FC319" s="108"/>
      <c r="FD319" s="108"/>
      <c r="FE319" s="108"/>
      <c r="FF319" s="108"/>
      <c r="FG319" s="108"/>
      <c r="FH319" s="108"/>
      <c r="FI319" s="108"/>
      <c r="FJ319" s="108"/>
      <c r="FK319" s="108"/>
      <c r="FL319" s="108"/>
      <c r="FM319" s="108"/>
      <c r="FN319" s="108"/>
      <c r="FO319" s="108"/>
      <c r="FP319" s="108"/>
      <c r="FQ319" s="108"/>
      <c r="FR319" s="108"/>
      <c r="FS319" s="108"/>
      <c r="FT319" s="108"/>
      <c r="FU319" s="108"/>
      <c r="FV319" s="108"/>
      <c r="FW319" s="108"/>
      <c r="FX319" s="108"/>
      <c r="FY319" s="108"/>
      <c r="FZ319" s="108"/>
      <c r="GA319" s="108"/>
      <c r="GB319" s="108"/>
      <c r="GC319" s="108"/>
      <c r="GD319" s="108"/>
      <c r="GE319" s="108"/>
      <c r="GF319" s="108"/>
      <c r="GG319" s="108"/>
      <c r="GH319" s="108"/>
      <c r="GI319" s="108"/>
      <c r="GJ319" s="108"/>
      <c r="GK319" s="108"/>
      <c r="GL319" s="108"/>
      <c r="GM319" s="108"/>
      <c r="GN319" s="108"/>
      <c r="GO319" s="108"/>
      <c r="GP319" s="108"/>
      <c r="GQ319" s="108"/>
      <c r="GR319" s="108"/>
      <c r="GS319" s="108"/>
      <c r="GT319" s="108"/>
      <c r="GU319" s="108"/>
      <c r="GV319" s="108"/>
      <c r="GW319" s="108"/>
      <c r="GX319" s="108"/>
      <c r="GY319" s="108"/>
      <c r="GZ319" s="108"/>
      <c r="HA319" s="108"/>
      <c r="HB319" s="108"/>
      <c r="HC319" s="108"/>
      <c r="HD319" s="108"/>
      <c r="HE319" s="108"/>
      <c r="HF319" s="108"/>
      <c r="HG319" s="108"/>
      <c r="HH319" s="108"/>
      <c r="HI319" s="108"/>
      <c r="HJ319" s="108"/>
      <c r="HK319" s="108"/>
      <c r="HL319" s="108"/>
      <c r="HM319" s="108"/>
      <c r="HN319" s="108"/>
      <c r="HO319" s="108"/>
      <c r="HP319" s="108"/>
      <c r="HQ319" s="108"/>
      <c r="HR319" s="108"/>
      <c r="HS319" s="108"/>
      <c r="HT319" s="108"/>
      <c r="HU319" s="108"/>
      <c r="HV319" s="108"/>
      <c r="HW319" s="108"/>
      <c r="HX319" s="108"/>
      <c r="HY319" s="108"/>
      <c r="HZ319" s="108"/>
      <c r="IA319" s="108"/>
      <c r="IB319" s="108"/>
      <c r="IC319" s="108"/>
      <c r="ID319" s="108"/>
      <c r="IE319" s="108"/>
      <c r="IF319" s="108"/>
      <c r="IG319" s="108"/>
      <c r="IH319" s="108"/>
      <c r="II319" s="108"/>
      <c r="IJ319" s="108"/>
      <c r="IK319" s="108"/>
      <c r="IL319" s="108"/>
      <c r="IM319" s="108"/>
      <c r="IN319" s="108"/>
      <c r="IO319" s="108"/>
      <c r="IP319" s="108"/>
      <c r="IQ319" s="108"/>
      <c r="IR319" s="108"/>
      <c r="IS319" s="108"/>
      <c r="IT319" s="108"/>
      <c r="IU319" s="108"/>
      <c r="IV319" s="108"/>
    </row>
    <row r="320" spans="1:256" ht="11.25" customHeight="1">
      <c r="A320" s="44" t="s">
        <v>268</v>
      </c>
      <c r="B320" s="70">
        <f>B305</f>
        <v>10.320724427267299</v>
      </c>
      <c r="C320" s="70">
        <f>C305</f>
        <v>7.896190443387447</v>
      </c>
      <c r="D320" s="70">
        <f>D305</f>
        <v>6.520295129692294</v>
      </c>
      <c r="E320" s="70">
        <f>E305</f>
        <v>6.48780629057932</v>
      </c>
      <c r="F320" s="70">
        <f>F305</f>
        <v>7.449875279610445</v>
      </c>
      <c r="G320" s="70">
        <f>G305</f>
        <v>8.850735699598115</v>
      </c>
      <c r="H320" s="70">
        <f>H305</f>
        <v>10.372935616667931</v>
      </c>
      <c r="I320" s="70">
        <f>I305</f>
        <v>11.896685647653909</v>
      </c>
      <c r="J320" s="70">
        <f>J305</f>
        <v>13.373437107263188</v>
      </c>
      <c r="K320" s="70">
        <f>K305</f>
        <v>14.769401846029329</v>
      </c>
      <c r="L320" s="70">
        <f>L305</f>
        <v>16.05478545012793</v>
      </c>
      <c r="M320" s="70">
        <f>M305</f>
        <v>17.205729874190624</v>
      </c>
      <c r="N320" s="70">
        <f>N305</f>
        <v>18.206315255411297</v>
      </c>
      <c r="O320" s="70">
        <f>O305</f>
        <v>19.048625857887167</v>
      </c>
      <c r="P320" s="70">
        <f>P305</f>
        <v>19.73158757849221</v>
      </c>
      <c r="Q320" s="70">
        <f>Q305</f>
        <v>20.258925117661995</v>
      </c>
      <c r="R320" s="70">
        <f>R305</f>
        <v>20.635620899466602</v>
      </c>
      <c r="S320" s="70">
        <f>S305</f>
        <v>20.861120720393593</v>
      </c>
      <c r="T320" s="70">
        <f>T305</f>
        <v>20.915451391146053</v>
      </c>
      <c r="U320" s="70">
        <f>U305</f>
        <v>20.731168065885527</v>
      </c>
      <c r="V320" s="70">
        <f>V305</f>
        <v>20.1454932772637</v>
      </c>
      <c r="W320" s="70">
        <f>W305</f>
        <v>18.861188849139747</v>
      </c>
      <c r="X320" s="70">
        <f>X305</f>
        <v>16.567417572987306</v>
      </c>
      <c r="Y320" s="70">
        <f>Y305</f>
        <v>13.428624591345683</v>
      </c>
      <c r="Z320" s="70">
        <f>Z305</f>
        <v>10.320724427267296</v>
      </c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08"/>
      <c r="CY320" s="108"/>
      <c r="CZ320" s="108"/>
      <c r="DA320" s="108"/>
      <c r="DB320" s="108"/>
      <c r="DC320" s="108"/>
      <c r="DD320" s="108"/>
      <c r="DE320" s="108"/>
      <c r="DF320" s="108"/>
      <c r="DG320" s="108"/>
      <c r="DH320" s="108"/>
      <c r="DI320" s="108"/>
      <c r="DJ320" s="108"/>
      <c r="DK320" s="108"/>
      <c r="DL320" s="108"/>
      <c r="DM320" s="108"/>
      <c r="DN320" s="108"/>
      <c r="DO320" s="108"/>
      <c r="DP320" s="108"/>
      <c r="DQ320" s="108"/>
      <c r="DR320" s="108"/>
      <c r="DS320" s="108"/>
      <c r="DT320" s="108"/>
      <c r="DU320" s="108"/>
      <c r="DV320" s="108"/>
      <c r="DW320" s="108"/>
      <c r="DX320" s="108"/>
      <c r="DY320" s="108"/>
      <c r="DZ320" s="108"/>
      <c r="EA320" s="108"/>
      <c r="EB320" s="108"/>
      <c r="EC320" s="108"/>
      <c r="ED320" s="108"/>
      <c r="EE320" s="108"/>
      <c r="EF320" s="108"/>
      <c r="EG320" s="108"/>
      <c r="EH320" s="108"/>
      <c r="EI320" s="108"/>
      <c r="EJ320" s="108"/>
      <c r="EK320" s="108"/>
      <c r="EL320" s="108"/>
      <c r="EM320" s="108"/>
      <c r="EN320" s="108"/>
      <c r="EO320" s="108"/>
      <c r="EP320" s="108"/>
      <c r="EQ320" s="108"/>
      <c r="ER320" s="108"/>
      <c r="ES320" s="108"/>
      <c r="ET320" s="108"/>
      <c r="EU320" s="108"/>
      <c r="EV320" s="108"/>
      <c r="EW320" s="108"/>
      <c r="EX320" s="108"/>
      <c r="EY320" s="108"/>
      <c r="EZ320" s="108"/>
      <c r="FA320" s="108"/>
      <c r="FB320" s="108"/>
      <c r="FC320" s="108"/>
      <c r="FD320" s="108"/>
      <c r="FE320" s="108"/>
      <c r="FF320" s="108"/>
      <c r="FG320" s="108"/>
      <c r="FH320" s="108"/>
      <c r="FI320" s="108"/>
      <c r="FJ320" s="108"/>
      <c r="FK320" s="108"/>
      <c r="FL320" s="108"/>
      <c r="FM320" s="108"/>
      <c r="FN320" s="108"/>
      <c r="FO320" s="108"/>
      <c r="FP320" s="108"/>
      <c r="FQ320" s="108"/>
      <c r="FR320" s="108"/>
      <c r="FS320" s="108"/>
      <c r="FT320" s="108"/>
      <c r="FU320" s="108"/>
      <c r="FV320" s="108"/>
      <c r="FW320" s="108"/>
      <c r="FX320" s="108"/>
      <c r="FY320" s="108"/>
      <c r="FZ320" s="108"/>
      <c r="GA320" s="108"/>
      <c r="GB320" s="108"/>
      <c r="GC320" s="108"/>
      <c r="GD320" s="108"/>
      <c r="GE320" s="108"/>
      <c r="GF320" s="108"/>
      <c r="GG320" s="108"/>
      <c r="GH320" s="108"/>
      <c r="GI320" s="108"/>
      <c r="GJ320" s="108"/>
      <c r="GK320" s="108"/>
      <c r="GL320" s="108"/>
      <c r="GM320" s="108"/>
      <c r="GN320" s="108"/>
      <c r="GO320" s="108"/>
      <c r="GP320" s="108"/>
      <c r="GQ320" s="108"/>
      <c r="GR320" s="108"/>
      <c r="GS320" s="108"/>
      <c r="GT320" s="108"/>
      <c r="GU320" s="108"/>
      <c r="GV320" s="108"/>
      <c r="GW320" s="108"/>
      <c r="GX320" s="108"/>
      <c r="GY320" s="108"/>
      <c r="GZ320" s="108"/>
      <c r="HA320" s="108"/>
      <c r="HB320" s="108"/>
      <c r="HC320" s="108"/>
      <c r="HD320" s="108"/>
      <c r="HE320" s="108"/>
      <c r="HF320" s="108"/>
      <c r="HG320" s="108"/>
      <c r="HH320" s="108"/>
      <c r="HI320" s="108"/>
      <c r="HJ320" s="108"/>
      <c r="HK320" s="108"/>
      <c r="HL320" s="108"/>
      <c r="HM320" s="108"/>
      <c r="HN320" s="108"/>
      <c r="HO320" s="108"/>
      <c r="HP320" s="108"/>
      <c r="HQ320" s="108"/>
      <c r="HR320" s="108"/>
      <c r="HS320" s="108"/>
      <c r="HT320" s="108"/>
      <c r="HU320" s="108"/>
      <c r="HV320" s="108"/>
      <c r="HW320" s="108"/>
      <c r="HX320" s="108"/>
      <c r="HY320" s="108"/>
      <c r="HZ320" s="108"/>
      <c r="IA320" s="108"/>
      <c r="IB320" s="108"/>
      <c r="IC320" s="108"/>
      <c r="ID320" s="108"/>
      <c r="IE320" s="108"/>
      <c r="IF320" s="108"/>
      <c r="IG320" s="108"/>
      <c r="IH320" s="108"/>
      <c r="II320" s="108"/>
      <c r="IJ320" s="108"/>
      <c r="IK320" s="108"/>
      <c r="IL320" s="108"/>
      <c r="IM320" s="108"/>
      <c r="IN320" s="108"/>
      <c r="IO320" s="108"/>
      <c r="IP320" s="108"/>
      <c r="IQ320" s="108"/>
      <c r="IR320" s="108"/>
      <c r="IS320" s="108"/>
      <c r="IT320" s="108"/>
      <c r="IU320" s="108"/>
      <c r="IV320" s="108"/>
    </row>
    <row r="321" spans="1:256" ht="11.25" customHeight="1">
      <c r="A321" s="44" t="s">
        <v>317</v>
      </c>
      <c r="B321" s="70">
        <f>B318*B57+B319*B58+B320*B39-(B244+B245+B252+B253)-B267</f>
        <v>0</v>
      </c>
      <c r="C321" s="70">
        <f>C318*C57+C319*C58+C320*C39-(C244+C245+C252+C253)-C267</f>
        <v>0</v>
      </c>
      <c r="D321" s="70">
        <f>D318*D57+D319*D58+D320*D39-(D244+D245+D252+D253)-D267</f>
        <v>2.0872192862952943E-14</v>
      </c>
      <c r="E321" s="70">
        <f>E318*E57+E319*E58+E320*E39-(E244+E245+E252+E253)-E267</f>
        <v>-3.552713678800501E-15</v>
      </c>
      <c r="F321" s="70">
        <f>F318*F57+F319*F58+F320*F39-(F244+F245+F252+F253)-F267</f>
        <v>-5.551115123125783E-15</v>
      </c>
      <c r="G321" s="70">
        <f>G318*G57+G319*G58+G320*G39-(G244+G245+G252+G253)-G267</f>
        <v>2.3314683517128287E-15</v>
      </c>
      <c r="H321" s="70">
        <f>H318*H57+H319*H58+H320*H39-(H244+H245+H252+H253)-H267</f>
        <v>0</v>
      </c>
      <c r="I321" s="70">
        <f>I318*I57+I319*I58+I320*I39-(I244+I245+I252+I253)-I267</f>
        <v>0</v>
      </c>
      <c r="J321" s="70">
        <f>J318*J57+J319*J58+J320*J39-(J244+J245+J252+J253)-J267</f>
        <v>0</v>
      </c>
      <c r="K321" s="70">
        <f>K318*K57+K319*K58+K320*K39-(K244+K245+K252+K253)-K267</f>
        <v>0</v>
      </c>
      <c r="L321" s="70">
        <f>L318*L57+L319*L58+L320*L39-(L244+L245+L252+L253)-L267</f>
        <v>0</v>
      </c>
      <c r="M321" s="70">
        <f>M318*M57+M319*M58+M320*M39-(M244+M245+M252+M253)-M267</f>
        <v>0</v>
      </c>
      <c r="N321" s="70">
        <f>N318*N57+N319*N58+N320*N39-(N244+N245+N252+N253)-N267</f>
        <v>0</v>
      </c>
      <c r="O321" s="70">
        <f>O318*O57+O319*O58+O320*O39-(O244+O245+O252+O253)-O267</f>
        <v>0</v>
      </c>
      <c r="P321" s="70">
        <f>P318*P57+P319*P58+P320*P39-(P244+P245+P252+P253)-P267</f>
        <v>0</v>
      </c>
      <c r="Q321" s="70">
        <f>Q318*Q57+Q319*Q58+Q320*Q39-(Q244+Q245+Q252+Q253)-Q267</f>
        <v>1.7763568394002505E-15</v>
      </c>
      <c r="R321" s="70">
        <f>R318*R57+R319*R58+R320*R39-(R244+R245+R252+R253)-R267</f>
        <v>-4.440892098500626E-16</v>
      </c>
      <c r="S321" s="70">
        <f>S318*S57+S319*S58+S320*S39-(S244+S245+S252+S253)-S267</f>
        <v>4.295175326518574E-15</v>
      </c>
      <c r="T321" s="70">
        <f>T318*T57+T319*T58+T320*T39-(T244+T245+T252+T253)-T267</f>
        <v>2.3314683517128287E-15</v>
      </c>
      <c r="U321" s="70">
        <f>U318*U57+U319*U58+U320*U39-(U244+U245+U252+U253)-U267</f>
        <v>0</v>
      </c>
      <c r="V321" s="70">
        <f>V318*V57+V319*V58+V320*V39-(V244+V245+V252+V253)-V267</f>
        <v>0</v>
      </c>
      <c r="W321" s="70">
        <f>W318*W57+W319*W58+W320*W39-(W244+W245+W252+W253)-W267</f>
        <v>0</v>
      </c>
      <c r="X321" s="70">
        <f>X318*X57+X319*X58+X320*X39-(X244+X245+X252+X253)-X267</f>
        <v>0</v>
      </c>
      <c r="Y321" s="70">
        <f>Y318*Y57+Y319*Y58+Y320*Y39-(Y244+Y245+Y252+Y253)-Y267</f>
        <v>0</v>
      </c>
      <c r="Z321" s="70">
        <f>Z318*Z57+Z319*Z58+Z320*Z39-(Z244+Z245+Z252+Z253)-Z267</f>
        <v>2.5113484971133145E-15</v>
      </c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  <c r="CW321" s="108"/>
      <c r="CX321" s="108"/>
      <c r="CY321" s="108"/>
      <c r="CZ321" s="108"/>
      <c r="DA321" s="108"/>
      <c r="DB321" s="108"/>
      <c r="DC321" s="108"/>
      <c r="DD321" s="108"/>
      <c r="DE321" s="108"/>
      <c r="DF321" s="108"/>
      <c r="DG321" s="108"/>
      <c r="DH321" s="108"/>
      <c r="DI321" s="108"/>
      <c r="DJ321" s="108"/>
      <c r="DK321" s="108"/>
      <c r="DL321" s="108"/>
      <c r="DM321" s="108"/>
      <c r="DN321" s="108"/>
      <c r="DO321" s="108"/>
      <c r="DP321" s="108"/>
      <c r="DQ321" s="108"/>
      <c r="DR321" s="108"/>
      <c r="DS321" s="108"/>
      <c r="DT321" s="108"/>
      <c r="DU321" s="108"/>
      <c r="DV321" s="108"/>
      <c r="DW321" s="108"/>
      <c r="DX321" s="108"/>
      <c r="DY321" s="108"/>
      <c r="DZ321" s="108"/>
      <c r="EA321" s="108"/>
      <c r="EB321" s="108"/>
      <c r="EC321" s="108"/>
      <c r="ED321" s="108"/>
      <c r="EE321" s="108"/>
      <c r="EF321" s="108"/>
      <c r="EG321" s="108"/>
      <c r="EH321" s="108"/>
      <c r="EI321" s="108"/>
      <c r="EJ321" s="108"/>
      <c r="EK321" s="108"/>
      <c r="EL321" s="108"/>
      <c r="EM321" s="108"/>
      <c r="EN321" s="108"/>
      <c r="EO321" s="108"/>
      <c r="EP321" s="108"/>
      <c r="EQ321" s="108"/>
      <c r="ER321" s="108"/>
      <c r="ES321" s="108"/>
      <c r="ET321" s="108"/>
      <c r="EU321" s="108"/>
      <c r="EV321" s="108"/>
      <c r="EW321" s="108"/>
      <c r="EX321" s="108"/>
      <c r="EY321" s="108"/>
      <c r="EZ321" s="108"/>
      <c r="FA321" s="108"/>
      <c r="FB321" s="108"/>
      <c r="FC321" s="108"/>
      <c r="FD321" s="108"/>
      <c r="FE321" s="108"/>
      <c r="FF321" s="108"/>
      <c r="FG321" s="108"/>
      <c r="FH321" s="108"/>
      <c r="FI321" s="108"/>
      <c r="FJ321" s="108"/>
      <c r="FK321" s="108"/>
      <c r="FL321" s="108"/>
      <c r="FM321" s="108"/>
      <c r="FN321" s="108"/>
      <c r="FO321" s="108"/>
      <c r="FP321" s="108"/>
      <c r="FQ321" s="108"/>
      <c r="FR321" s="108"/>
      <c r="FS321" s="108"/>
      <c r="FT321" s="108"/>
      <c r="FU321" s="108"/>
      <c r="FV321" s="108"/>
      <c r="FW321" s="108"/>
      <c r="FX321" s="108"/>
      <c r="FY321" s="108"/>
      <c r="FZ321" s="108"/>
      <c r="GA321" s="108"/>
      <c r="GB321" s="108"/>
      <c r="GC321" s="108"/>
      <c r="GD321" s="108"/>
      <c r="GE321" s="108"/>
      <c r="GF321" s="108"/>
      <c r="GG321" s="108"/>
      <c r="GH321" s="108"/>
      <c r="GI321" s="108"/>
      <c r="GJ321" s="108"/>
      <c r="GK321" s="108"/>
      <c r="GL321" s="108"/>
      <c r="GM321" s="108"/>
      <c r="GN321" s="108"/>
      <c r="GO321" s="108"/>
      <c r="GP321" s="108"/>
      <c r="GQ321" s="108"/>
      <c r="GR321" s="108"/>
      <c r="GS321" s="108"/>
      <c r="GT321" s="108"/>
      <c r="GU321" s="108"/>
      <c r="GV321" s="108"/>
      <c r="GW321" s="108"/>
      <c r="GX321" s="108"/>
      <c r="GY321" s="108"/>
      <c r="GZ321" s="108"/>
      <c r="HA321" s="108"/>
      <c r="HB321" s="108"/>
      <c r="HC321" s="108"/>
      <c r="HD321" s="108"/>
      <c r="HE321" s="108"/>
      <c r="HF321" s="108"/>
      <c r="HG321" s="108"/>
      <c r="HH321" s="108"/>
      <c r="HI321" s="108"/>
      <c r="HJ321" s="108"/>
      <c r="HK321" s="108"/>
      <c r="HL321" s="108"/>
      <c r="HM321" s="108"/>
      <c r="HN321" s="108"/>
      <c r="HO321" s="108"/>
      <c r="HP321" s="108"/>
      <c r="HQ321" s="108"/>
      <c r="HR321" s="108"/>
      <c r="HS321" s="108"/>
      <c r="HT321" s="108"/>
      <c r="HU321" s="108"/>
      <c r="HV321" s="108"/>
      <c r="HW321" s="108"/>
      <c r="HX321" s="108"/>
      <c r="HY321" s="108"/>
      <c r="HZ321" s="108"/>
      <c r="IA321" s="108"/>
      <c r="IB321" s="108"/>
      <c r="IC321" s="108"/>
      <c r="ID321" s="108"/>
      <c r="IE321" s="108"/>
      <c r="IF321" s="108"/>
      <c r="IG321" s="108"/>
      <c r="IH321" s="108"/>
      <c r="II321" s="108"/>
      <c r="IJ321" s="108"/>
      <c r="IK321" s="108"/>
      <c r="IL321" s="108"/>
      <c r="IM321" s="108"/>
      <c r="IN321" s="108"/>
      <c r="IO321" s="108"/>
      <c r="IP321" s="108"/>
      <c r="IQ321" s="108"/>
      <c r="IR321" s="108"/>
      <c r="IS321" s="108"/>
      <c r="IT321" s="108"/>
      <c r="IU321" s="108"/>
      <c r="IV321" s="108"/>
    </row>
    <row r="322" spans="1:256" ht="11.25" customHeight="1">
      <c r="A322" s="44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  <c r="CW322" s="108"/>
      <c r="CX322" s="108"/>
      <c r="CY322" s="108"/>
      <c r="CZ322" s="108"/>
      <c r="DA322" s="108"/>
      <c r="DB322" s="108"/>
      <c r="DC322" s="108"/>
      <c r="DD322" s="108"/>
      <c r="DE322" s="108"/>
      <c r="DF322" s="108"/>
      <c r="DG322" s="108"/>
      <c r="DH322" s="108"/>
      <c r="DI322" s="108"/>
      <c r="DJ322" s="108"/>
      <c r="DK322" s="108"/>
      <c r="DL322" s="108"/>
      <c r="DM322" s="108"/>
      <c r="DN322" s="108"/>
      <c r="DO322" s="108"/>
      <c r="DP322" s="108"/>
      <c r="DQ322" s="108"/>
      <c r="DR322" s="108"/>
      <c r="DS322" s="108"/>
      <c r="DT322" s="108"/>
      <c r="DU322" s="108"/>
      <c r="DV322" s="108"/>
      <c r="DW322" s="108"/>
      <c r="DX322" s="108"/>
      <c r="DY322" s="108"/>
      <c r="DZ322" s="108"/>
      <c r="EA322" s="108"/>
      <c r="EB322" s="108"/>
      <c r="EC322" s="108"/>
      <c r="ED322" s="108"/>
      <c r="EE322" s="108"/>
      <c r="EF322" s="108"/>
      <c r="EG322" s="108"/>
      <c r="EH322" s="108"/>
      <c r="EI322" s="108"/>
      <c r="EJ322" s="108"/>
      <c r="EK322" s="108"/>
      <c r="EL322" s="108"/>
      <c r="EM322" s="108"/>
      <c r="EN322" s="108"/>
      <c r="EO322" s="108"/>
      <c r="EP322" s="108"/>
      <c r="EQ322" s="108"/>
      <c r="ER322" s="108"/>
      <c r="ES322" s="108"/>
      <c r="ET322" s="108"/>
      <c r="EU322" s="108"/>
      <c r="EV322" s="108"/>
      <c r="EW322" s="108"/>
      <c r="EX322" s="108"/>
      <c r="EY322" s="108"/>
      <c r="EZ322" s="108"/>
      <c r="FA322" s="108"/>
      <c r="FB322" s="108"/>
      <c r="FC322" s="108"/>
      <c r="FD322" s="108"/>
      <c r="FE322" s="108"/>
      <c r="FF322" s="108"/>
      <c r="FG322" s="108"/>
      <c r="FH322" s="108"/>
      <c r="FI322" s="108"/>
      <c r="FJ322" s="108"/>
      <c r="FK322" s="108"/>
      <c r="FL322" s="108"/>
      <c r="FM322" s="108"/>
      <c r="FN322" s="108"/>
      <c r="FO322" s="108"/>
      <c r="FP322" s="108"/>
      <c r="FQ322" s="108"/>
      <c r="FR322" s="108"/>
      <c r="FS322" s="108"/>
      <c r="FT322" s="108"/>
      <c r="FU322" s="108"/>
      <c r="FV322" s="108"/>
      <c r="FW322" s="108"/>
      <c r="FX322" s="108"/>
      <c r="FY322" s="108"/>
      <c r="FZ322" s="108"/>
      <c r="GA322" s="108"/>
      <c r="GB322" s="108"/>
      <c r="GC322" s="108"/>
      <c r="GD322" s="108"/>
      <c r="GE322" s="108"/>
      <c r="GF322" s="108"/>
      <c r="GG322" s="108"/>
      <c r="GH322" s="108"/>
      <c r="GI322" s="108"/>
      <c r="GJ322" s="108"/>
      <c r="GK322" s="108"/>
      <c r="GL322" s="108"/>
      <c r="GM322" s="108"/>
      <c r="GN322" s="108"/>
      <c r="GO322" s="108"/>
      <c r="GP322" s="108"/>
      <c r="GQ322" s="108"/>
      <c r="GR322" s="108"/>
      <c r="GS322" s="108"/>
      <c r="GT322" s="108"/>
      <c r="GU322" s="108"/>
      <c r="GV322" s="108"/>
      <c r="GW322" s="108"/>
      <c r="GX322" s="108"/>
      <c r="GY322" s="108"/>
      <c r="GZ322" s="108"/>
      <c r="HA322" s="108"/>
      <c r="HB322" s="108"/>
      <c r="HC322" s="108"/>
      <c r="HD322" s="108"/>
      <c r="HE322" s="108"/>
      <c r="HF322" s="108"/>
      <c r="HG322" s="108"/>
      <c r="HH322" s="108"/>
      <c r="HI322" s="108"/>
      <c r="HJ322" s="108"/>
      <c r="HK322" s="108"/>
      <c r="HL322" s="108"/>
      <c r="HM322" s="108"/>
      <c r="HN322" s="108"/>
      <c r="HO322" s="108"/>
      <c r="HP322" s="108"/>
      <c r="HQ322" s="108"/>
      <c r="HR322" s="108"/>
      <c r="HS322" s="108"/>
      <c r="HT322" s="108"/>
      <c r="HU322" s="108"/>
      <c r="HV322" s="108"/>
      <c r="HW322" s="108"/>
      <c r="HX322" s="108"/>
      <c r="HY322" s="108"/>
      <c r="HZ322" s="108"/>
      <c r="IA322" s="108"/>
      <c r="IB322" s="108"/>
      <c r="IC322" s="108"/>
      <c r="ID322" s="108"/>
      <c r="IE322" s="108"/>
      <c r="IF322" s="108"/>
      <c r="IG322" s="108"/>
      <c r="IH322" s="108"/>
      <c r="II322" s="108"/>
      <c r="IJ322" s="108"/>
      <c r="IK322" s="108"/>
      <c r="IL322" s="108"/>
      <c r="IM322" s="108"/>
      <c r="IN322" s="108"/>
      <c r="IO322" s="108"/>
      <c r="IP322" s="108"/>
      <c r="IQ322" s="108"/>
      <c r="IR322" s="108"/>
      <c r="IS322" s="108"/>
      <c r="IT322" s="108"/>
      <c r="IU322" s="108"/>
      <c r="IV322" s="108"/>
    </row>
    <row r="323" spans="1:256" ht="11.25" customHeight="1">
      <c r="A323" s="44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  <c r="CW323" s="108"/>
      <c r="CX323" s="108"/>
      <c r="CY323" s="108"/>
      <c r="CZ323" s="108"/>
      <c r="DA323" s="108"/>
      <c r="DB323" s="108"/>
      <c r="DC323" s="108"/>
      <c r="DD323" s="108"/>
      <c r="DE323" s="108"/>
      <c r="DF323" s="108"/>
      <c r="DG323" s="108"/>
      <c r="DH323" s="108"/>
      <c r="DI323" s="108"/>
      <c r="DJ323" s="108"/>
      <c r="DK323" s="108"/>
      <c r="DL323" s="108"/>
      <c r="DM323" s="108"/>
      <c r="DN323" s="108"/>
      <c r="DO323" s="108"/>
      <c r="DP323" s="108"/>
      <c r="DQ323" s="108"/>
      <c r="DR323" s="108"/>
      <c r="DS323" s="108"/>
      <c r="DT323" s="108"/>
      <c r="DU323" s="108"/>
      <c r="DV323" s="108"/>
      <c r="DW323" s="108"/>
      <c r="DX323" s="108"/>
      <c r="DY323" s="108"/>
      <c r="DZ323" s="108"/>
      <c r="EA323" s="108"/>
      <c r="EB323" s="108"/>
      <c r="EC323" s="108"/>
      <c r="ED323" s="108"/>
      <c r="EE323" s="108"/>
      <c r="EF323" s="108"/>
      <c r="EG323" s="108"/>
      <c r="EH323" s="108"/>
      <c r="EI323" s="108"/>
      <c r="EJ323" s="108"/>
      <c r="EK323" s="108"/>
      <c r="EL323" s="108"/>
      <c r="EM323" s="108"/>
      <c r="EN323" s="108"/>
      <c r="EO323" s="108"/>
      <c r="EP323" s="108"/>
      <c r="EQ323" s="108"/>
      <c r="ER323" s="108"/>
      <c r="ES323" s="108"/>
      <c r="ET323" s="108"/>
      <c r="EU323" s="108"/>
      <c r="EV323" s="108"/>
      <c r="EW323" s="108"/>
      <c r="EX323" s="108"/>
      <c r="EY323" s="108"/>
      <c r="EZ323" s="108"/>
      <c r="FA323" s="108"/>
      <c r="FB323" s="108"/>
      <c r="FC323" s="108"/>
      <c r="FD323" s="108"/>
      <c r="FE323" s="108"/>
      <c r="FF323" s="108"/>
      <c r="FG323" s="108"/>
      <c r="FH323" s="108"/>
      <c r="FI323" s="108"/>
      <c r="FJ323" s="108"/>
      <c r="FK323" s="108"/>
      <c r="FL323" s="108"/>
      <c r="FM323" s="108"/>
      <c r="FN323" s="108"/>
      <c r="FO323" s="108"/>
      <c r="FP323" s="108"/>
      <c r="FQ323" s="108"/>
      <c r="FR323" s="108"/>
      <c r="FS323" s="108"/>
      <c r="FT323" s="108"/>
      <c r="FU323" s="108"/>
      <c r="FV323" s="108"/>
      <c r="FW323" s="108"/>
      <c r="FX323" s="108"/>
      <c r="FY323" s="108"/>
      <c r="FZ323" s="108"/>
      <c r="GA323" s="108"/>
      <c r="GB323" s="108"/>
      <c r="GC323" s="108"/>
      <c r="GD323" s="108"/>
      <c r="GE323" s="108"/>
      <c r="GF323" s="108"/>
      <c r="GG323" s="108"/>
      <c r="GH323" s="108"/>
      <c r="GI323" s="108"/>
      <c r="GJ323" s="108"/>
      <c r="GK323" s="108"/>
      <c r="GL323" s="108"/>
      <c r="GM323" s="108"/>
      <c r="GN323" s="108"/>
      <c r="GO323" s="108"/>
      <c r="GP323" s="108"/>
      <c r="GQ323" s="108"/>
      <c r="GR323" s="108"/>
      <c r="GS323" s="108"/>
      <c r="GT323" s="108"/>
      <c r="GU323" s="108"/>
      <c r="GV323" s="108"/>
      <c r="GW323" s="108"/>
      <c r="GX323" s="108"/>
      <c r="GY323" s="108"/>
      <c r="GZ323" s="108"/>
      <c r="HA323" s="108"/>
      <c r="HB323" s="108"/>
      <c r="HC323" s="108"/>
      <c r="HD323" s="108"/>
      <c r="HE323" s="108"/>
      <c r="HF323" s="108"/>
      <c r="HG323" s="108"/>
      <c r="HH323" s="108"/>
      <c r="HI323" s="108"/>
      <c r="HJ323" s="108"/>
      <c r="HK323" s="108"/>
      <c r="HL323" s="108"/>
      <c r="HM323" s="108"/>
      <c r="HN323" s="108"/>
      <c r="HO323" s="108"/>
      <c r="HP323" s="108"/>
      <c r="HQ323" s="108"/>
      <c r="HR323" s="108"/>
      <c r="HS323" s="108"/>
      <c r="HT323" s="108"/>
      <c r="HU323" s="108"/>
      <c r="HV323" s="108"/>
      <c r="HW323" s="108"/>
      <c r="HX323" s="108"/>
      <c r="HY323" s="108"/>
      <c r="HZ323" s="108"/>
      <c r="IA323" s="108"/>
      <c r="IB323" s="108"/>
      <c r="IC323" s="108"/>
      <c r="ID323" s="108"/>
      <c r="IE323" s="108"/>
      <c r="IF323" s="108"/>
      <c r="IG323" s="108"/>
      <c r="IH323" s="108"/>
      <c r="II323" s="108"/>
      <c r="IJ323" s="108"/>
      <c r="IK323" s="108"/>
      <c r="IL323" s="108"/>
      <c r="IM323" s="108"/>
      <c r="IN323" s="108"/>
      <c r="IO323" s="108"/>
      <c r="IP323" s="108"/>
      <c r="IQ323" s="108"/>
      <c r="IR323" s="108"/>
      <c r="IS323" s="108"/>
      <c r="IT323" s="108"/>
      <c r="IU323" s="108"/>
      <c r="IV323" s="108"/>
    </row>
    <row r="324" spans="1:256" ht="11.25" customHeight="1">
      <c r="A324" s="44"/>
      <c r="B324" s="70" t="s">
        <v>332</v>
      </c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  <c r="CW324" s="108"/>
      <c r="CX324" s="108"/>
      <c r="CY324" s="108"/>
      <c r="CZ324" s="108"/>
      <c r="DA324" s="108"/>
      <c r="DB324" s="108"/>
      <c r="DC324" s="108"/>
      <c r="DD324" s="108"/>
      <c r="DE324" s="108"/>
      <c r="DF324" s="108"/>
      <c r="DG324" s="108"/>
      <c r="DH324" s="108"/>
      <c r="DI324" s="108"/>
      <c r="DJ324" s="108"/>
      <c r="DK324" s="108"/>
      <c r="DL324" s="108"/>
      <c r="DM324" s="108"/>
      <c r="DN324" s="108"/>
      <c r="DO324" s="108"/>
      <c r="DP324" s="108"/>
      <c r="DQ324" s="108"/>
      <c r="DR324" s="108"/>
      <c r="DS324" s="108"/>
      <c r="DT324" s="108"/>
      <c r="DU324" s="108"/>
      <c r="DV324" s="108"/>
      <c r="DW324" s="108"/>
      <c r="DX324" s="108"/>
      <c r="DY324" s="108"/>
      <c r="DZ324" s="108"/>
      <c r="EA324" s="108"/>
      <c r="EB324" s="108"/>
      <c r="EC324" s="108"/>
      <c r="ED324" s="108"/>
      <c r="EE324" s="108"/>
      <c r="EF324" s="108"/>
      <c r="EG324" s="108"/>
      <c r="EH324" s="108"/>
      <c r="EI324" s="108"/>
      <c r="EJ324" s="108"/>
      <c r="EK324" s="108"/>
      <c r="EL324" s="108"/>
      <c r="EM324" s="108"/>
      <c r="EN324" s="108"/>
      <c r="EO324" s="108"/>
      <c r="EP324" s="108"/>
      <c r="EQ324" s="108"/>
      <c r="ER324" s="108"/>
      <c r="ES324" s="108"/>
      <c r="ET324" s="108"/>
      <c r="EU324" s="108"/>
      <c r="EV324" s="108"/>
      <c r="EW324" s="108"/>
      <c r="EX324" s="108"/>
      <c r="EY324" s="108"/>
      <c r="EZ324" s="108"/>
      <c r="FA324" s="108"/>
      <c r="FB324" s="108"/>
      <c r="FC324" s="108"/>
      <c r="FD324" s="108"/>
      <c r="FE324" s="108"/>
      <c r="FF324" s="108"/>
      <c r="FG324" s="108"/>
      <c r="FH324" s="108"/>
      <c r="FI324" s="108"/>
      <c r="FJ324" s="108"/>
      <c r="FK324" s="108"/>
      <c r="FL324" s="108"/>
      <c r="FM324" s="108"/>
      <c r="FN324" s="108"/>
      <c r="FO324" s="108"/>
      <c r="FP324" s="108"/>
      <c r="FQ324" s="108"/>
      <c r="FR324" s="108"/>
      <c r="FS324" s="108"/>
      <c r="FT324" s="108"/>
      <c r="FU324" s="108"/>
      <c r="FV324" s="108"/>
      <c r="FW324" s="108"/>
      <c r="FX324" s="108"/>
      <c r="FY324" s="108"/>
      <c r="FZ324" s="108"/>
      <c r="GA324" s="108"/>
      <c r="GB324" s="108"/>
      <c r="GC324" s="108"/>
      <c r="GD324" s="108"/>
      <c r="GE324" s="108"/>
      <c r="GF324" s="108"/>
      <c r="GG324" s="108"/>
      <c r="GH324" s="108"/>
      <c r="GI324" s="108"/>
      <c r="GJ324" s="108"/>
      <c r="GK324" s="108"/>
      <c r="GL324" s="108"/>
      <c r="GM324" s="108"/>
      <c r="GN324" s="108"/>
      <c r="GO324" s="108"/>
      <c r="GP324" s="108"/>
      <c r="GQ324" s="108"/>
      <c r="GR324" s="108"/>
      <c r="GS324" s="108"/>
      <c r="GT324" s="108"/>
      <c r="GU324" s="108"/>
      <c r="GV324" s="108"/>
      <c r="GW324" s="108"/>
      <c r="GX324" s="108"/>
      <c r="GY324" s="108"/>
      <c r="GZ324" s="108"/>
      <c r="HA324" s="108"/>
      <c r="HB324" s="108"/>
      <c r="HC324" s="108"/>
      <c r="HD324" s="108"/>
      <c r="HE324" s="108"/>
      <c r="HF324" s="108"/>
      <c r="HG324" s="108"/>
      <c r="HH324" s="108"/>
      <c r="HI324" s="108"/>
      <c r="HJ324" s="108"/>
      <c r="HK324" s="108"/>
      <c r="HL324" s="108"/>
      <c r="HM324" s="108"/>
      <c r="HN324" s="108"/>
      <c r="HO324" s="108"/>
      <c r="HP324" s="108"/>
      <c r="HQ324" s="108"/>
      <c r="HR324" s="108"/>
      <c r="HS324" s="108"/>
      <c r="HT324" s="108"/>
      <c r="HU324" s="108"/>
      <c r="HV324" s="108"/>
      <c r="HW324" s="108"/>
      <c r="HX324" s="108"/>
      <c r="HY324" s="108"/>
      <c r="HZ324" s="108"/>
      <c r="IA324" s="108"/>
      <c r="IB324" s="108"/>
      <c r="IC324" s="108"/>
      <c r="ID324" s="108"/>
      <c r="IE324" s="108"/>
      <c r="IF324" s="108"/>
      <c r="IG324" s="108"/>
      <c r="IH324" s="108"/>
      <c r="II324" s="108"/>
      <c r="IJ324" s="108"/>
      <c r="IK324" s="108"/>
      <c r="IL324" s="108"/>
      <c r="IM324" s="108"/>
      <c r="IN324" s="108"/>
      <c r="IO324" s="108"/>
      <c r="IP324" s="108"/>
      <c r="IQ324" s="108"/>
      <c r="IR324" s="108"/>
      <c r="IS324" s="108"/>
      <c r="IT324" s="108"/>
      <c r="IU324" s="108"/>
      <c r="IV324" s="108"/>
    </row>
    <row r="325" spans="1:256" ht="11.25" customHeight="1">
      <c r="A325" s="12" t="s">
        <v>327</v>
      </c>
      <c r="B325" s="13">
        <f>B326*B57+B327*B58+B328*B39-(B212+B213+B220+B221)</f>
        <v>0</v>
      </c>
      <c r="C325" s="13">
        <f>C326*C57+C327*C58+C328*C39-(C212+C213+C220+C221)</f>
        <v>3.730349362740526E-14</v>
      </c>
      <c r="D325" s="13">
        <f>D326*D57+D327*D58+D328*D39-(D212+D213+D220+D221)</f>
        <v>-7.993605777301127E-14</v>
      </c>
      <c r="E325" s="13">
        <f>E326*E57+E327*E58+E328*E39-(E212+E213+E220+E221)</f>
        <v>1.2878587085651816E-14</v>
      </c>
      <c r="F325" s="13">
        <f>F326*F57+F327*F58+F328*F39-(F212+F213+F220+F221)</f>
        <v>1.9539925233402755E-14</v>
      </c>
      <c r="G325" s="13">
        <f>G326*G57+G327*G58+G328*G39-(G212+G213+G220+G221)</f>
        <v>0</v>
      </c>
      <c r="H325" s="13">
        <f>H326*H57+H327*H58+H328*H39-(H212+H213+H220+H221)</f>
        <v>0</v>
      </c>
      <c r="I325" s="13">
        <f>I326*I57+I327*I58+I328*I39-(I212+I213+I220+I221)</f>
        <v>0</v>
      </c>
      <c r="J325" s="13">
        <f>J326*J57+J327*J58+J328*J39-(J212+J213+J220+J221)</f>
        <v>0</v>
      </c>
      <c r="K325" s="13">
        <f>K326*K57+K327*K58+K328*K39-(K212+K213+K220+K221)</f>
        <v>0</v>
      </c>
      <c r="L325" s="13">
        <f>L326*L57+L327*L58+L328*L39-(L212+L213+L220+L221)</f>
        <v>0</v>
      </c>
      <c r="M325" s="13">
        <f>M326*M57+M327*M58+M328*M39-(M212+M213+M220+M221)</f>
        <v>0</v>
      </c>
      <c r="N325" s="13">
        <f>N326*N57+N327*N58+N328*N39-(N212+N213+N220+N221)</f>
        <v>0</v>
      </c>
      <c r="O325" s="13">
        <f>O326*O57+O327*O58+O328*O39-(O212+O213+O220+O221)</f>
        <v>0</v>
      </c>
      <c r="P325" s="13">
        <f>P326*P57+P327*P58+P328*P39-(P212+P213+P220+P221)</f>
        <v>0</v>
      </c>
      <c r="Q325" s="13">
        <f>Q326*Q57+Q327*Q58+Q328*Q39-(Q212+Q213+Q220+Q221)</f>
        <v>-1.7763568394002505E-15</v>
      </c>
      <c r="R325" s="13">
        <f>R326*R57+R327*R58+R328*R39-(R212+R213+R220+R221)</f>
        <v>0</v>
      </c>
      <c r="S325" s="13">
        <f>S326*S57+S327*S58+S328*S39-(S212+S213+S220+S221)</f>
        <v>-9.992007221626409E-16</v>
      </c>
      <c r="T325" s="13">
        <f>T326*T57+T327*T58+T328*T39-(T212+T213+T220+T221)</f>
        <v>-9.43689570931383E-16</v>
      </c>
      <c r="U325" s="13">
        <f>U326*U57+U327*U58+U328*U39-(U212+U213+U220+U221)</f>
        <v>1.3322676295501878E-15</v>
      </c>
      <c r="V325" s="13">
        <f>V326*V57+V327*V58+V328*V39-(V212+V213+V220+V221)</f>
        <v>0</v>
      </c>
      <c r="W325" s="13">
        <f>W326*W57+W327*W58+W328*W39-(W212+W213+W220+W221)</f>
        <v>0</v>
      </c>
      <c r="X325" s="13">
        <f>X326*X57+X327*X58+X328*X39-(X212+X213+X220+X221)</f>
        <v>0</v>
      </c>
      <c r="Y325" s="13">
        <f>Y326*Y57+Y327*Y58+Y328*Y39-(Y212+Y213+Y220+Y221)</f>
        <v>0</v>
      </c>
      <c r="Z325" s="13">
        <f>Z326*Z57+Z327*Z58+Z328*Z39-(Z212+Z213+Z220+Z221)</f>
        <v>0</v>
      </c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08"/>
      <c r="CY325" s="108"/>
      <c r="CZ325" s="108"/>
      <c r="DA325" s="108"/>
      <c r="DB325" s="108"/>
      <c r="DC325" s="108"/>
      <c r="DD325" s="108"/>
      <c r="DE325" s="108"/>
      <c r="DF325" s="108"/>
      <c r="DG325" s="108"/>
      <c r="DH325" s="108"/>
      <c r="DI325" s="108"/>
      <c r="DJ325" s="108"/>
      <c r="DK325" s="108"/>
      <c r="DL325" s="108"/>
      <c r="DM325" s="108"/>
      <c r="DN325" s="108"/>
      <c r="DO325" s="108"/>
      <c r="DP325" s="108"/>
      <c r="DQ325" s="108"/>
      <c r="DR325" s="108"/>
      <c r="DS325" s="108"/>
      <c r="DT325" s="108"/>
      <c r="DU325" s="108"/>
      <c r="DV325" s="108"/>
      <c r="DW325" s="108"/>
      <c r="DX325" s="108"/>
      <c r="DY325" s="108"/>
      <c r="DZ325" s="108"/>
      <c r="EA325" s="108"/>
      <c r="EB325" s="108"/>
      <c r="EC325" s="108"/>
      <c r="ED325" s="108"/>
      <c r="EE325" s="108"/>
      <c r="EF325" s="108"/>
      <c r="EG325" s="108"/>
      <c r="EH325" s="108"/>
      <c r="EI325" s="108"/>
      <c r="EJ325" s="108"/>
      <c r="EK325" s="108"/>
      <c r="EL325" s="108"/>
      <c r="EM325" s="108"/>
      <c r="EN325" s="108"/>
      <c r="EO325" s="108"/>
      <c r="EP325" s="108"/>
      <c r="EQ325" s="108"/>
      <c r="ER325" s="108"/>
      <c r="ES325" s="108"/>
      <c r="ET325" s="108"/>
      <c r="EU325" s="108"/>
      <c r="EV325" s="108"/>
      <c r="EW325" s="108"/>
      <c r="EX325" s="108"/>
      <c r="EY325" s="108"/>
      <c r="EZ325" s="108"/>
      <c r="FA325" s="108"/>
      <c r="FB325" s="108"/>
      <c r="FC325" s="108"/>
      <c r="FD325" s="108"/>
      <c r="FE325" s="108"/>
      <c r="FF325" s="108"/>
      <c r="FG325" s="108"/>
      <c r="FH325" s="108"/>
      <c r="FI325" s="108"/>
      <c r="FJ325" s="108"/>
      <c r="FK325" s="108"/>
      <c r="FL325" s="108"/>
      <c r="FM325" s="108"/>
      <c r="FN325" s="108"/>
      <c r="FO325" s="108"/>
      <c r="FP325" s="108"/>
      <c r="FQ325" s="108"/>
      <c r="FR325" s="108"/>
      <c r="FS325" s="108"/>
      <c r="FT325" s="108"/>
      <c r="FU325" s="108"/>
      <c r="FV325" s="108"/>
      <c r="FW325" s="108"/>
      <c r="FX325" s="108"/>
      <c r="FY325" s="108"/>
      <c r="FZ325" s="108"/>
      <c r="GA325" s="108"/>
      <c r="GB325" s="108"/>
      <c r="GC325" s="108"/>
      <c r="GD325" s="108"/>
      <c r="GE325" s="108"/>
      <c r="GF325" s="108"/>
      <c r="GG325" s="108"/>
      <c r="GH325" s="108"/>
      <c r="GI325" s="108"/>
      <c r="GJ325" s="108"/>
      <c r="GK325" s="108"/>
      <c r="GL325" s="108"/>
      <c r="GM325" s="108"/>
      <c r="GN325" s="108"/>
      <c r="GO325" s="108"/>
      <c r="GP325" s="108"/>
      <c r="GQ325" s="108"/>
      <c r="GR325" s="108"/>
      <c r="GS325" s="108"/>
      <c r="GT325" s="108"/>
      <c r="GU325" s="108"/>
      <c r="GV325" s="108"/>
      <c r="GW325" s="108"/>
      <c r="GX325" s="108"/>
      <c r="GY325" s="108"/>
      <c r="GZ325" s="108"/>
      <c r="HA325" s="108"/>
      <c r="HB325" s="108"/>
      <c r="HC325" s="108"/>
      <c r="HD325" s="108"/>
      <c r="HE325" s="108"/>
      <c r="HF325" s="108"/>
      <c r="HG325" s="108"/>
      <c r="HH325" s="108"/>
      <c r="HI325" s="108"/>
      <c r="HJ325" s="108"/>
      <c r="HK325" s="108"/>
      <c r="HL325" s="108"/>
      <c r="HM325" s="108"/>
      <c r="HN325" s="108"/>
      <c r="HO325" s="108"/>
      <c r="HP325" s="108"/>
      <c r="HQ325" s="108"/>
      <c r="HR325" s="108"/>
      <c r="HS325" s="108"/>
      <c r="HT325" s="108"/>
      <c r="HU325" s="108"/>
      <c r="HV325" s="108"/>
      <c r="HW325" s="108"/>
      <c r="HX325" s="108"/>
      <c r="HY325" s="108"/>
      <c r="HZ325" s="108"/>
      <c r="IA325" s="108"/>
      <c r="IB325" s="108"/>
      <c r="IC325" s="108"/>
      <c r="ID325" s="108"/>
      <c r="IE325" s="108"/>
      <c r="IF325" s="108"/>
      <c r="IG325" s="108"/>
      <c r="IH325" s="108"/>
      <c r="II325" s="108"/>
      <c r="IJ325" s="108"/>
      <c r="IK325" s="108"/>
      <c r="IL325" s="108"/>
      <c r="IM325" s="108"/>
      <c r="IN325" s="108"/>
      <c r="IO325" s="108"/>
      <c r="IP325" s="108"/>
      <c r="IQ325" s="108"/>
      <c r="IR325" s="108"/>
      <c r="IS325" s="108"/>
      <c r="IT325" s="108"/>
      <c r="IU325" s="108"/>
      <c r="IV325" s="108"/>
    </row>
    <row r="326" spans="1:256" ht="11.25" customHeight="1">
      <c r="A326" t="s">
        <v>324</v>
      </c>
      <c r="B326" s="5">
        <f>B217*(B154-$D$4)/(B56-$D$4)+B209*(B147-$D$4)/(B56-$D$4)</f>
        <v>-0.10263618906524397</v>
      </c>
      <c r="C326" s="5">
        <f>C217*(C154-$D$4)/(C56-$D$4)+C209*(C147-$D$4)/(C56-$D$4)</f>
        <v>-0.09606326542794044</v>
      </c>
      <c r="D326" s="5">
        <f>D217*(D154-$D$4)/(D56-$D$4)+D209*(D147-$D$4)/(D56-$D$4)</f>
        <v>-0.0581180650651534</v>
      </c>
      <c r="E326" s="5">
        <f>E217*(E154-$D$4)/(E56-$D$4)+E209*(E147-$D$4)/(E56-$D$4)</f>
        <v>-0.035594754978097165</v>
      </c>
      <c r="F326" s="5">
        <f>F217*(F154-$D$4)/(F56-$D$4)+F209*(F147-$D$4)/(F56-$D$4)</f>
        <v>-0.026586245071368513</v>
      </c>
      <c r="G326" s="5">
        <f>G217*(G154-$D$4)/(G56-$D$4)+G209*(G147-$D$4)/(G56-$D$4)</f>
        <v>-0.024379289839596096</v>
      </c>
      <c r="H326" s="5">
        <f>H217*(H154-$D$4)/(H56-$D$4)+H209*(H147-$D$4)/(H56-$D$4)</f>
        <v>-0.02495135404229156</v>
      </c>
      <c r="I326" s="5">
        <f>I217*(I154-$D$4)/(I56-$D$4)+I209*(I147-$D$4)/(I56-$D$4)</f>
        <v>-0.025333983289930723</v>
      </c>
      <c r="J326" s="5">
        <f>J217*(J154-$D$4)/(J56-$D$4)+J209*(J147-$D$4)/(J56-$D$4)</f>
        <v>-0.023341236456968766</v>
      </c>
      <c r="K326" s="5">
        <f>K217*(K154-$D$4)/(K56-$D$4)+K209*(K147-$D$4)/(K56-$D$4)</f>
        <v>-0.017747332577328405</v>
      </c>
      <c r="L326" s="5">
        <f>L217*(L154-$D$4)/(L56-$D$4)+L209*(L147-$D$4)/(L56-$D$4)</f>
        <v>-0.008318748585239798</v>
      </c>
      <c r="M326" s="5">
        <f>M217*(M154-$D$4)/(M56-$D$4)+M209*(M147-$D$4)/(M56-$D$4)</f>
        <v>0.0043561220234592584</v>
      </c>
      <c r="N326" s="5">
        <f>N217*(N154-$D$4)/(N56-$D$4)+N209*(N147-$D$4)/(N56-$D$4)</f>
        <v>0.019207841764576426</v>
      </c>
      <c r="O326" s="5">
        <f>O217*(O154-$D$4)/(O56-$D$4)+O209*(O147-$D$4)/(O56-$D$4)</f>
        <v>0.03513112359026622</v>
      </c>
      <c r="P326" s="5">
        <f>P217*(P154-$D$4)/(P56-$D$4)+P209*(P147-$D$4)/(P56-$D$4)</f>
        <v>0.05142276227357878</v>
      </c>
      <c r="Q326" s="5">
        <f>Q217*(Q154-$D$4)/(Q56-$D$4)+Q209*(Q147-$D$4)/(Q56-$D$4)</f>
        <v>0.06808807850716216</v>
      </c>
      <c r="R326" s="5">
        <f>R217*(R154-$D$4)/(R56-$D$4)+R209*(R147-$D$4)/(R56-$D$4)</f>
        <v>0.085924248940595</v>
      </c>
      <c r="S326" s="5">
        <f>S217*(S154-$D$4)/(S56-$D$4)+S209*(S147-$D$4)/(S56-$D$4)</f>
        <v>0.10629986760022406</v>
      </c>
      <c r="T326" s="5">
        <f>T217*(T154-$D$4)/(T56-$D$4)+T209*(T147-$D$4)/(T56-$D$4)</f>
        <v>0.1304116148140141</v>
      </c>
      <c r="U326" s="5">
        <f>U217*(U154-$D$4)/(U56-$D$4)+U209*(U147-$D$4)/(U56-$D$4)</f>
        <v>0.15736716060380718</v>
      </c>
      <c r="V326" s="5">
        <f>V217*(V154-$D$4)/(V56-$D$4)+V209*(V147-$D$4)/(V56-$D$4)</f>
        <v>0.17978220612220994</v>
      </c>
      <c r="W326" s="5">
        <f>W217*(W154-$D$4)/(W56-$D$4)+W209*(W147-$D$4)/(W56-$D$4)</f>
        <v>0.1765222327380689</v>
      </c>
      <c r="X326" s="5">
        <f>X217*(X154-$D$4)/(X56-$D$4)+X209*(X147-$D$4)/(X56-$D$4)</f>
        <v>0.11344405497438548</v>
      </c>
      <c r="Y326" s="5">
        <f>Y217*(Y154-$D$4)/(Y56-$D$4)+Y209*(Y147-$D$4)/(Y56-$D$4)</f>
        <v>-0.010888278974783597</v>
      </c>
      <c r="Z326" s="5">
        <f>Z217*(Z154-$D$4)/(Z56-$D$4)+Z209*(Z147-$D$4)/(Z56-$D$4)</f>
        <v>-0.10263618906524402</v>
      </c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  <c r="CW326" s="108"/>
      <c r="CX326" s="108"/>
      <c r="CY326" s="108"/>
      <c r="CZ326" s="108"/>
      <c r="DA326" s="108"/>
      <c r="DB326" s="108"/>
      <c r="DC326" s="108"/>
      <c r="DD326" s="108"/>
      <c r="DE326" s="108"/>
      <c r="DF326" s="108"/>
      <c r="DG326" s="108"/>
      <c r="DH326" s="108"/>
      <c r="DI326" s="108"/>
      <c r="DJ326" s="108"/>
      <c r="DK326" s="108"/>
      <c r="DL326" s="108"/>
      <c r="DM326" s="108"/>
      <c r="DN326" s="108"/>
      <c r="DO326" s="108"/>
      <c r="DP326" s="108"/>
      <c r="DQ326" s="108"/>
      <c r="DR326" s="108"/>
      <c r="DS326" s="108"/>
      <c r="DT326" s="108"/>
      <c r="DU326" s="108"/>
      <c r="DV326" s="108"/>
      <c r="DW326" s="108"/>
      <c r="DX326" s="108"/>
      <c r="DY326" s="108"/>
      <c r="DZ326" s="108"/>
      <c r="EA326" s="108"/>
      <c r="EB326" s="108"/>
      <c r="EC326" s="108"/>
      <c r="ED326" s="108"/>
      <c r="EE326" s="108"/>
      <c r="EF326" s="108"/>
      <c r="EG326" s="108"/>
      <c r="EH326" s="108"/>
      <c r="EI326" s="108"/>
      <c r="EJ326" s="108"/>
      <c r="EK326" s="108"/>
      <c r="EL326" s="108"/>
      <c r="EM326" s="108"/>
      <c r="EN326" s="108"/>
      <c r="EO326" s="108"/>
      <c r="EP326" s="108"/>
      <c r="EQ326" s="108"/>
      <c r="ER326" s="108"/>
      <c r="ES326" s="108"/>
      <c r="ET326" s="108"/>
      <c r="EU326" s="108"/>
      <c r="EV326" s="108"/>
      <c r="EW326" s="108"/>
      <c r="EX326" s="108"/>
      <c r="EY326" s="108"/>
      <c r="EZ326" s="108"/>
      <c r="FA326" s="108"/>
      <c r="FB326" s="108"/>
      <c r="FC326" s="108"/>
      <c r="FD326" s="108"/>
      <c r="FE326" s="108"/>
      <c r="FF326" s="108"/>
      <c r="FG326" s="108"/>
      <c r="FH326" s="108"/>
      <c r="FI326" s="108"/>
      <c r="FJ326" s="108"/>
      <c r="FK326" s="108"/>
      <c r="FL326" s="108"/>
      <c r="FM326" s="108"/>
      <c r="FN326" s="108"/>
      <c r="FO326" s="108"/>
      <c r="FP326" s="108"/>
      <c r="FQ326" s="108"/>
      <c r="FR326" s="108"/>
      <c r="FS326" s="108"/>
      <c r="FT326" s="108"/>
      <c r="FU326" s="108"/>
      <c r="FV326" s="108"/>
      <c r="FW326" s="108"/>
      <c r="FX326" s="108"/>
      <c r="FY326" s="108"/>
      <c r="FZ326" s="108"/>
      <c r="GA326" s="108"/>
      <c r="GB326" s="108"/>
      <c r="GC326" s="108"/>
      <c r="GD326" s="108"/>
      <c r="GE326" s="108"/>
      <c r="GF326" s="108"/>
      <c r="GG326" s="108"/>
      <c r="GH326" s="108"/>
      <c r="GI326" s="108"/>
      <c r="GJ326" s="108"/>
      <c r="GK326" s="108"/>
      <c r="GL326" s="108"/>
      <c r="GM326" s="108"/>
      <c r="GN326" s="108"/>
      <c r="GO326" s="108"/>
      <c r="GP326" s="108"/>
      <c r="GQ326" s="108"/>
      <c r="GR326" s="108"/>
      <c r="GS326" s="108"/>
      <c r="GT326" s="108"/>
      <c r="GU326" s="108"/>
      <c r="GV326" s="108"/>
      <c r="GW326" s="108"/>
      <c r="GX326" s="108"/>
      <c r="GY326" s="108"/>
      <c r="GZ326" s="108"/>
      <c r="HA326" s="108"/>
      <c r="HB326" s="108"/>
      <c r="HC326" s="108"/>
      <c r="HD326" s="108"/>
      <c r="HE326" s="108"/>
      <c r="HF326" s="108"/>
      <c r="HG326" s="108"/>
      <c r="HH326" s="108"/>
      <c r="HI326" s="108"/>
      <c r="HJ326" s="108"/>
      <c r="HK326" s="108"/>
      <c r="HL326" s="108"/>
      <c r="HM326" s="108"/>
      <c r="HN326" s="108"/>
      <c r="HO326" s="108"/>
      <c r="HP326" s="108"/>
      <c r="HQ326" s="108"/>
      <c r="HR326" s="108"/>
      <c r="HS326" s="108"/>
      <c r="HT326" s="108"/>
      <c r="HU326" s="108"/>
      <c r="HV326" s="108"/>
      <c r="HW326" s="108"/>
      <c r="HX326" s="108"/>
      <c r="HY326" s="108"/>
      <c r="HZ326" s="108"/>
      <c r="IA326" s="108"/>
      <c r="IB326" s="108"/>
      <c r="IC326" s="108"/>
      <c r="ID326" s="108"/>
      <c r="IE326" s="108"/>
      <c r="IF326" s="108"/>
      <c r="IG326" s="108"/>
      <c r="IH326" s="108"/>
      <c r="II326" s="108"/>
      <c r="IJ326" s="108"/>
      <c r="IK326" s="108"/>
      <c r="IL326" s="108"/>
      <c r="IM326" s="108"/>
      <c r="IN326" s="108"/>
      <c r="IO326" s="108"/>
      <c r="IP326" s="108"/>
      <c r="IQ326" s="108"/>
      <c r="IR326" s="108"/>
      <c r="IS326" s="108"/>
      <c r="IT326" s="108"/>
      <c r="IU326" s="108"/>
      <c r="IV326" s="108"/>
    </row>
    <row r="327" spans="1:256" ht="11.25" customHeight="1">
      <c r="A327" t="s">
        <v>325</v>
      </c>
      <c r="B327" s="5">
        <f>(B218+$B$302)*(B153-$D$3)/(B55-$D$3)+(B210+$B$307)*(B146-$D$3)/(B55-$D$3)</f>
        <v>-10.0108086973928</v>
      </c>
      <c r="C327" s="5">
        <f>(C218+$B$302)*(C153-$D$3)/(C55-$D$3)+(C210+$B$307)*(C146-$D$3)/(C55-$D$3)</f>
        <v>-35.402651766295136</v>
      </c>
      <c r="D327" s="5">
        <f>(D218+$B$302)*(D153-$D$3)/(D55-$D$3)+(D210+$B$307)*(D146-$D$3)/(D55-$D$3)</f>
        <v>107.08411719291985</v>
      </c>
      <c r="E327" s="5">
        <f>(E218+$B$302)*(E153-$D$3)/(E55-$D$3)+(E210+$B$307)*(E146-$D$3)/(E55-$D$3)</f>
        <v>40.81028174603354</v>
      </c>
      <c r="F327" s="5">
        <f>(F218+$B$302)*(F153-$D$3)/(F55-$D$3)+(F210+$B$307)*(F146-$D$3)/(F55-$D$3)</f>
        <v>43.64459621958156</v>
      </c>
      <c r="G327" s="5">
        <f>(G218+$B$302)*(G153-$D$3)/(G55-$D$3)+(G210+$B$307)*(G146-$D$3)/(G55-$D$3)</f>
        <v>124.27506179188855</v>
      </c>
      <c r="H327" s="5">
        <f>(H218+$B$302)*(H153-$D$3)/(H55-$D$3)+(H210+$B$307)*(H146-$D$3)/(H55-$D$3)</f>
        <v>-57.888647549806485</v>
      </c>
      <c r="I327" s="5">
        <f>(I218+$B$302)*(I153-$D$3)/(I55-$D$3)+(I210+$B$307)*(I146-$D$3)/(I55-$D$3)</f>
        <v>-19.593515108818828</v>
      </c>
      <c r="J327" s="5">
        <f>(J218+$B$302)*(J153-$D$3)/(J55-$D$3)+(J210+$B$307)*(J146-$D$3)/(J55-$D$3)</f>
        <v>-10.866168708979856</v>
      </c>
      <c r="K327" s="5">
        <f>(K218+$B$302)*(K153-$D$3)/(K55-$D$3)+(K210+$B$307)*(K146-$D$3)/(K55-$D$3)</f>
        <v>-7.162498374702842</v>
      </c>
      <c r="L327" s="5">
        <f>(L218+$B$302)*(L153-$D$3)/(L55-$D$3)+(L210+$B$307)*(L146-$D$3)/(L55-$D$3)</f>
        <v>-5.168406021040267</v>
      </c>
      <c r="M327" s="5">
        <f>(M218+$B$302)*(M153-$D$3)/(M55-$D$3)+(M210+$B$307)*(M146-$D$3)/(M55-$D$3)</f>
        <v>-3.9468027310118803</v>
      </c>
      <c r="N327" s="5">
        <f>(N218+$B$302)*(N153-$D$3)/(N55-$D$3)+(N210+$B$307)*(N146-$D$3)/(N55-$D$3)</f>
        <v>-3.1370810875244204</v>
      </c>
      <c r="O327" s="5">
        <f>(O218+$B$302)*(O153-$D$3)/(O55-$D$3)+(O210+$B$307)*(O146-$D$3)/(O55-$D$3)</f>
        <v>-2.57394903317537</v>
      </c>
      <c r="P327" s="5">
        <f>(P218+$B$302)*(P153-$D$3)/(P55-$D$3)+(P210+$B$307)*(P146-$D$3)/(P55-$D$3)</f>
        <v>-2.173065870640329</v>
      </c>
      <c r="Q327" s="5">
        <f>(Q218+$B$302)*(Q153-$D$3)/(Q55-$D$3)+(Q210+$B$307)*(Q146-$D$3)/(Q55-$D$3)</f>
        <v>-1.8888903162439519</v>
      </c>
      <c r="R327" s="5">
        <f>(R218+$B$302)*(R153-$D$3)/(R55-$D$3)+(R210+$B$307)*(R146-$D$3)/(R55-$D$3)</f>
        <v>-1.6970580572814842</v>
      </c>
      <c r="S327" s="5">
        <f>(S218+$B$302)*(S153-$D$3)/(S55-$D$3)+(S210+$B$307)*(S146-$D$3)/(S55-$D$3)</f>
        <v>-1.5867422500719577</v>
      </c>
      <c r="T327" s="5">
        <f>(T218+$B$302)*(T153-$D$3)/(T55-$D$3)+(T210+$B$307)*(T146-$D$3)/(T55-$D$3)</f>
        <v>-1.5580451455592121</v>
      </c>
      <c r="U327" s="5">
        <f>(U218+$B$302)*(U153-$D$3)/(U55-$D$3)+(U210+$B$307)*(U146-$D$3)/(U55-$D$3)</f>
        <v>-1.6231038915783462</v>
      </c>
      <c r="V327" s="5">
        <f>(V218+$B$302)*(V153-$D$3)/(V55-$D$3)+(V210+$B$307)*(V146-$D$3)/(V55-$D$3)</f>
        <v>-1.8124175462270413</v>
      </c>
      <c r="W327" s="5">
        <f>(W218+$B$302)*(W153-$D$3)/(W55-$D$3)+(W210+$B$307)*(W146-$D$3)/(W55-$D$3)</f>
        <v>-2.195533440144917</v>
      </c>
      <c r="X327" s="5">
        <f>(X218+$B$302)*(X153-$D$3)/(X55-$D$3)+(X210+$B$307)*(X146-$D$3)/(X55-$D$3)</f>
        <v>-2.9599400604842168</v>
      </c>
      <c r="Y327" s="5">
        <f>(Y218+$B$302)*(Y153-$D$3)/(Y55-$D$3)+(Y210+$B$307)*(Y146-$D$3)/(Y55-$D$3)</f>
        <v>-4.7393417664232915</v>
      </c>
      <c r="Z327" s="5">
        <f>(Z218+$B$302)*(Z153-$D$3)/(Z55-$D$3)+(Z210+$B$307)*(Z146-$D$3)/(Z55-$D$3)</f>
        <v>-10.0108086973928</v>
      </c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  <c r="CW327" s="108"/>
      <c r="CX327" s="108"/>
      <c r="CY327" s="108"/>
      <c r="CZ327" s="108"/>
      <c r="DA327" s="108"/>
      <c r="DB327" s="108"/>
      <c r="DC327" s="108"/>
      <c r="DD327" s="108"/>
      <c r="DE327" s="108"/>
      <c r="DF327" s="108"/>
      <c r="DG327" s="108"/>
      <c r="DH327" s="108"/>
      <c r="DI327" s="108"/>
      <c r="DJ327" s="108"/>
      <c r="DK327" s="108"/>
      <c r="DL327" s="108"/>
      <c r="DM327" s="108"/>
      <c r="DN327" s="108"/>
      <c r="DO327" s="108"/>
      <c r="DP327" s="108"/>
      <c r="DQ327" s="108"/>
      <c r="DR327" s="108"/>
      <c r="DS327" s="108"/>
      <c r="DT327" s="108"/>
      <c r="DU327" s="108"/>
      <c r="DV327" s="108"/>
      <c r="DW327" s="108"/>
      <c r="DX327" s="108"/>
      <c r="DY327" s="108"/>
      <c r="DZ327" s="108"/>
      <c r="EA327" s="108"/>
      <c r="EB327" s="108"/>
      <c r="EC327" s="108"/>
      <c r="ED327" s="108"/>
      <c r="EE327" s="108"/>
      <c r="EF327" s="108"/>
      <c r="EG327" s="108"/>
      <c r="EH327" s="108"/>
      <c r="EI327" s="108"/>
      <c r="EJ327" s="108"/>
      <c r="EK327" s="108"/>
      <c r="EL327" s="108"/>
      <c r="EM327" s="108"/>
      <c r="EN327" s="108"/>
      <c r="EO327" s="108"/>
      <c r="EP327" s="108"/>
      <c r="EQ327" s="108"/>
      <c r="ER327" s="108"/>
      <c r="ES327" s="108"/>
      <c r="ET327" s="108"/>
      <c r="EU327" s="108"/>
      <c r="EV327" s="108"/>
      <c r="EW327" s="108"/>
      <c r="EX327" s="108"/>
      <c r="EY327" s="108"/>
      <c r="EZ327" s="108"/>
      <c r="FA327" s="108"/>
      <c r="FB327" s="108"/>
      <c r="FC327" s="108"/>
      <c r="FD327" s="108"/>
      <c r="FE327" s="108"/>
      <c r="FF327" s="108"/>
      <c r="FG327" s="108"/>
      <c r="FH327" s="108"/>
      <c r="FI327" s="108"/>
      <c r="FJ327" s="108"/>
      <c r="FK327" s="108"/>
      <c r="FL327" s="108"/>
      <c r="FM327" s="108"/>
      <c r="FN327" s="108"/>
      <c r="FO327" s="108"/>
      <c r="FP327" s="108"/>
      <c r="FQ327" s="108"/>
      <c r="FR327" s="108"/>
      <c r="FS327" s="108"/>
      <c r="FT327" s="108"/>
      <c r="FU327" s="108"/>
      <c r="FV327" s="108"/>
      <c r="FW327" s="108"/>
      <c r="FX327" s="108"/>
      <c r="FY327" s="108"/>
      <c r="FZ327" s="108"/>
      <c r="GA327" s="108"/>
      <c r="GB327" s="108"/>
      <c r="GC327" s="108"/>
      <c r="GD327" s="108"/>
      <c r="GE327" s="108"/>
      <c r="GF327" s="108"/>
      <c r="GG327" s="108"/>
      <c r="GH327" s="108"/>
      <c r="GI327" s="108"/>
      <c r="GJ327" s="108"/>
      <c r="GK327" s="108"/>
      <c r="GL327" s="108"/>
      <c r="GM327" s="108"/>
      <c r="GN327" s="108"/>
      <c r="GO327" s="108"/>
      <c r="GP327" s="108"/>
      <c r="GQ327" s="108"/>
      <c r="GR327" s="108"/>
      <c r="GS327" s="108"/>
      <c r="GT327" s="108"/>
      <c r="GU327" s="108"/>
      <c r="GV327" s="108"/>
      <c r="GW327" s="108"/>
      <c r="GX327" s="108"/>
      <c r="GY327" s="108"/>
      <c r="GZ327" s="108"/>
      <c r="HA327" s="108"/>
      <c r="HB327" s="108"/>
      <c r="HC327" s="108"/>
      <c r="HD327" s="108"/>
      <c r="HE327" s="108"/>
      <c r="HF327" s="108"/>
      <c r="HG327" s="108"/>
      <c r="HH327" s="108"/>
      <c r="HI327" s="108"/>
      <c r="HJ327" s="108"/>
      <c r="HK327" s="108"/>
      <c r="HL327" s="108"/>
      <c r="HM327" s="108"/>
      <c r="HN327" s="108"/>
      <c r="HO327" s="108"/>
      <c r="HP327" s="108"/>
      <c r="HQ327" s="108"/>
      <c r="HR327" s="108"/>
      <c r="HS327" s="108"/>
      <c r="HT327" s="108"/>
      <c r="HU327" s="108"/>
      <c r="HV327" s="108"/>
      <c r="HW327" s="108"/>
      <c r="HX327" s="108"/>
      <c r="HY327" s="108"/>
      <c r="HZ327" s="108"/>
      <c r="IA327" s="108"/>
      <c r="IB327" s="108"/>
      <c r="IC327" s="108"/>
      <c r="ID327" s="108"/>
      <c r="IE327" s="108"/>
      <c r="IF327" s="108"/>
      <c r="IG327" s="108"/>
      <c r="IH327" s="108"/>
      <c r="II327" s="108"/>
      <c r="IJ327" s="108"/>
      <c r="IK327" s="108"/>
      <c r="IL327" s="108"/>
      <c r="IM327" s="108"/>
      <c r="IN327" s="108"/>
      <c r="IO327" s="108"/>
      <c r="IP327" s="108"/>
      <c r="IQ327" s="108"/>
      <c r="IR327" s="108"/>
      <c r="IS327" s="108"/>
      <c r="IT327" s="108"/>
      <c r="IU327" s="108"/>
      <c r="IV327" s="108"/>
    </row>
    <row r="328" spans="1:256" ht="12.75">
      <c r="A328" t="s">
        <v>326</v>
      </c>
      <c r="B328" s="5">
        <f>B219+B211</f>
        <v>0.5093063570906561</v>
      </c>
      <c r="C328" s="5">
        <f>C219+C211</f>
        <v>1.5601150514280082</v>
      </c>
      <c r="D328" s="5">
        <f>D219+D211</f>
        <v>1.799118865415968</v>
      </c>
      <c r="E328" s="5">
        <f>E219+E211</f>
        <v>1.4853499226309912</v>
      </c>
      <c r="F328" s="5">
        <f>F219+F211</f>
        <v>1.0543911472801881</v>
      </c>
      <c r="G328" s="5">
        <f>G219+G211</f>
        <v>0.6890162916850272</v>
      </c>
      <c r="H328" s="5">
        <f>H219+H211</f>
        <v>0.4153859778327118</v>
      </c>
      <c r="I328" s="5">
        <f>I219+I211</f>
        <v>0.2149951960368655</v>
      </c>
      <c r="J328" s="5">
        <f>J219+J211</f>
        <v>0.06617648458463733</v>
      </c>
      <c r="K328" s="5">
        <f>K219+K211</f>
        <v>-0.04679617807943565</v>
      </c>
      <c r="L328" s="5">
        <f>L219+L211</f>
        <v>-0.1338941976231277</v>
      </c>
      <c r="M328" s="5">
        <f>M219+M211</f>
        <v>-0.20135061072806254</v>
      </c>
      <c r="N328" s="5">
        <f>N219+N211</f>
        <v>-0.2536496908654204</v>
      </c>
      <c r="O328" s="5">
        <f>O219+O211</f>
        <v>-0.2950909464314906</v>
      </c>
      <c r="P328" s="5">
        <f>P219+P211</f>
        <v>-0.33084804195511325</v>
      </c>
      <c r="Q328" s="5">
        <f>Q219+Q211</f>
        <v>-0.3675984587561829</v>
      </c>
      <c r="R328" s="5">
        <f>R219+R211</f>
        <v>-0.4139558970686613</v>
      </c>
      <c r="S328" s="5">
        <f>S219+S211</f>
        <v>-0.4809509112585383</v>
      </c>
      <c r="T328" s="5">
        <f>T219+T211</f>
        <v>-0.5823735399089567</v>
      </c>
      <c r="U328" s="5">
        <f>U219+U211</f>
        <v>-0.7331252420013035</v>
      </c>
      <c r="V328" s="5">
        <f>V219+V211</f>
        <v>-0.9384551289243912</v>
      </c>
      <c r="W328" s="5">
        <f>W219+W211</f>
        <v>-1.1540448897396525</v>
      </c>
      <c r="X328" s="5">
        <f>X219+X211</f>
        <v>-1.1909584667714654</v>
      </c>
      <c r="Y328" s="5">
        <f>Y219+Y211</f>
        <v>-0.6707630841942788</v>
      </c>
      <c r="Z328" s="5">
        <f>Z219+Z211</f>
        <v>0.5093063570906561</v>
      </c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  <c r="DH328" s="108"/>
      <c r="DI328" s="108"/>
      <c r="DJ328" s="108"/>
      <c r="DK328" s="108"/>
      <c r="DL328" s="108"/>
      <c r="DM328" s="108"/>
      <c r="DN328" s="108"/>
      <c r="DO328" s="108"/>
      <c r="DP328" s="108"/>
      <c r="DQ328" s="108"/>
      <c r="DR328" s="108"/>
      <c r="DS328" s="108"/>
      <c r="DT328" s="108"/>
      <c r="DU328" s="108"/>
      <c r="DV328" s="108"/>
      <c r="DW328" s="108"/>
      <c r="DX328" s="108"/>
      <c r="DY328" s="108"/>
      <c r="DZ328" s="108"/>
      <c r="EA328" s="108"/>
      <c r="EB328" s="108"/>
      <c r="EC328" s="108"/>
      <c r="ED328" s="108"/>
      <c r="EE328" s="108"/>
      <c r="EF328" s="108"/>
      <c r="EG328" s="108"/>
      <c r="EH328" s="108"/>
      <c r="EI328" s="108"/>
      <c r="EJ328" s="108"/>
      <c r="EK328" s="108"/>
      <c r="EL328" s="108"/>
      <c r="EM328" s="108"/>
      <c r="EN328" s="108"/>
      <c r="EO328" s="108"/>
      <c r="EP328" s="108"/>
      <c r="EQ328" s="108"/>
      <c r="ER328" s="108"/>
      <c r="ES328" s="108"/>
      <c r="ET328" s="108"/>
      <c r="EU328" s="108"/>
      <c r="EV328" s="108"/>
      <c r="EW328" s="108"/>
      <c r="EX328" s="108"/>
      <c r="EY328" s="108"/>
      <c r="EZ328" s="108"/>
      <c r="FA328" s="108"/>
      <c r="FB328" s="108"/>
      <c r="FC328" s="108"/>
      <c r="FD328" s="108"/>
      <c r="FE328" s="108"/>
      <c r="FF328" s="108"/>
      <c r="FG328" s="108"/>
      <c r="FH328" s="108"/>
      <c r="FI328" s="108"/>
      <c r="FJ328" s="108"/>
      <c r="FK328" s="108"/>
      <c r="FL328" s="108"/>
      <c r="FM328" s="108"/>
      <c r="FN328" s="108"/>
      <c r="FO328" s="108"/>
      <c r="FP328" s="108"/>
      <c r="FQ328" s="108"/>
      <c r="FR328" s="108"/>
      <c r="FS328" s="108"/>
      <c r="FT328" s="108"/>
      <c r="FU328" s="108"/>
      <c r="FV328" s="108"/>
      <c r="FW328" s="108"/>
      <c r="FX328" s="108"/>
      <c r="FY328" s="108"/>
      <c r="FZ328" s="108"/>
      <c r="GA328" s="108"/>
      <c r="GB328" s="108"/>
      <c r="GC328" s="108"/>
      <c r="GD328" s="108"/>
      <c r="GE328" s="108"/>
      <c r="GF328" s="108"/>
      <c r="GG328" s="108"/>
      <c r="GH328" s="108"/>
      <c r="GI328" s="108"/>
      <c r="GJ328" s="108"/>
      <c r="GK328" s="108"/>
      <c r="GL328" s="108"/>
      <c r="GM328" s="108"/>
      <c r="GN328" s="108"/>
      <c r="GO328" s="108"/>
      <c r="GP328" s="108"/>
      <c r="GQ328" s="108"/>
      <c r="GR328" s="108"/>
      <c r="GS328" s="108"/>
      <c r="GT328" s="108"/>
      <c r="GU328" s="108"/>
      <c r="GV328" s="108"/>
      <c r="GW328" s="108"/>
      <c r="GX328" s="108"/>
      <c r="GY328" s="108"/>
      <c r="GZ328" s="108"/>
      <c r="HA328" s="108"/>
      <c r="HB328" s="108"/>
      <c r="HC328" s="108"/>
      <c r="HD328" s="108"/>
      <c r="HE328" s="108"/>
      <c r="HF328" s="108"/>
      <c r="HG328" s="108"/>
      <c r="HH328" s="108"/>
      <c r="HI328" s="108"/>
      <c r="HJ328" s="108"/>
      <c r="HK328" s="108"/>
      <c r="HL328" s="108"/>
      <c r="HM328" s="108"/>
      <c r="HN328" s="108"/>
      <c r="HO328" s="108"/>
      <c r="HP328" s="108"/>
      <c r="HQ328" s="108"/>
      <c r="HR328" s="108"/>
      <c r="HS328" s="108"/>
      <c r="HT328" s="108"/>
      <c r="HU328" s="108"/>
      <c r="HV328" s="108"/>
      <c r="HW328" s="108"/>
      <c r="HX328" s="108"/>
      <c r="HY328" s="108"/>
      <c r="HZ328" s="108"/>
      <c r="IA328" s="108"/>
      <c r="IB328" s="108"/>
      <c r="IC328" s="108"/>
      <c r="ID328" s="108"/>
      <c r="IE328" s="108"/>
      <c r="IF328" s="108"/>
      <c r="IG328" s="108"/>
      <c r="IH328" s="108"/>
      <c r="II328" s="108"/>
      <c r="IJ328" s="108"/>
      <c r="IK328" s="108"/>
      <c r="IL328" s="108"/>
      <c r="IM328" s="108"/>
      <c r="IN328" s="108"/>
      <c r="IO328" s="108"/>
      <c r="IP328" s="108"/>
      <c r="IQ328" s="108"/>
      <c r="IR328" s="108"/>
      <c r="IS328" s="108"/>
      <c r="IT328" s="108"/>
      <c r="IU328" s="108"/>
      <c r="IV328" s="108"/>
    </row>
    <row r="329" spans="1:26" s="126" customFormat="1" ht="12.75">
      <c r="A329" s="52" t="s">
        <v>334</v>
      </c>
      <c r="B329" s="52">
        <f>O4*S5</f>
        <v>10</v>
      </c>
      <c r="C329" s="79" t="s">
        <v>269</v>
      </c>
      <c r="D329" s="79"/>
      <c r="E329" s="79"/>
      <c r="F329" s="79"/>
      <c r="G329" s="79"/>
      <c r="H329" s="79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56" ht="12.75">
      <c r="A330" t="s">
        <v>270</v>
      </c>
      <c r="B330" s="5">
        <f>B310*B39/B38</f>
        <v>2.7253926984685286</v>
      </c>
      <c r="C330" s="5">
        <f>C310*C39/C38</f>
        <v>-2.174224728335685</v>
      </c>
      <c r="D330" s="5">
        <f>D310*D39/D38</f>
        <v>-3.7575752606572634</v>
      </c>
      <c r="E330" s="5">
        <f>E310*E39/E38</f>
        <v>-1.5931939971999811</v>
      </c>
      <c r="F330" s="5">
        <f>F310*F39/F38</f>
        <v>4.1437491236688855</v>
      </c>
      <c r="G330" s="5">
        <f>G310*G39/G38</f>
        <v>12.07624276957429</v>
      </c>
      <c r="H330" s="5">
        <f>H310*H39/H38</f>
        <v>27.585404889800387</v>
      </c>
      <c r="I330" s="5">
        <f>I310*I39/I38</f>
        <v>14.87258217982464</v>
      </c>
      <c r="J330" s="5">
        <f>J310*J39/J38</f>
        <v>18.709177246418633</v>
      </c>
      <c r="K330" s="5">
        <f>K310*K39/K38</f>
        <v>19.755719588355667</v>
      </c>
      <c r="L330" s="5">
        <f>L310*L39/L38</f>
        <v>19.316716794474292</v>
      </c>
      <c r="M330" s="5">
        <f>M310*M39/M38</f>
        <v>17.8500264510056</v>
      </c>
      <c r="N330" s="5">
        <f>N310*N39/N38</f>
        <v>15.917174214545511</v>
      </c>
      <c r="O330" s="5">
        <f>O310*O39/O38</f>
        <v>13.776913840757475</v>
      </c>
      <c r="P330" s="5">
        <f>P310*P39/P38</f>
        <v>11.438016470871014</v>
      </c>
      <c r="Q330" s="5">
        <f>Q310*Q39/Q38</f>
        <v>8.927328144919253</v>
      </c>
      <c r="R330" s="5">
        <f>R310*R39/R38</f>
        <v>6.236875530922513</v>
      </c>
      <c r="S330" s="5">
        <f>S310*S39/S38</f>
        <v>3.1055668713855025</v>
      </c>
      <c r="T330" s="5">
        <f>T310*T39/T38</f>
        <v>-1.2502730756016096</v>
      </c>
      <c r="U330" s="5">
        <f>U310*U39/U38</f>
        <v>-9.34266363008998</v>
      </c>
      <c r="V330" s="5">
        <f>V310*V39/V38</f>
        <v>-38.070870675100586</v>
      </c>
      <c r="W330" s="5">
        <f>W310*W39/W38</f>
        <v>92.20383082959955</v>
      </c>
      <c r="X330" s="5">
        <f>X310*X39/X38</f>
        <v>24.029549545165327</v>
      </c>
      <c r="Y330" s="5">
        <f>Y310*Y39/Y38</f>
        <v>10.6798423889972</v>
      </c>
      <c r="Z330" s="5">
        <f>Z310*Z39/Z38</f>
        <v>2.725392698468524</v>
      </c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  <c r="CW330" s="108"/>
      <c r="CX330" s="108"/>
      <c r="CY330" s="108"/>
      <c r="CZ330" s="108"/>
      <c r="DA330" s="108"/>
      <c r="DB330" s="108"/>
      <c r="DC330" s="108"/>
      <c r="DD330" s="108"/>
      <c r="DE330" s="108"/>
      <c r="DF330" s="108"/>
      <c r="DG330" s="108"/>
      <c r="DH330" s="108"/>
      <c r="DI330" s="108"/>
      <c r="DJ330" s="108"/>
      <c r="DK330" s="108"/>
      <c r="DL330" s="108"/>
      <c r="DM330" s="108"/>
      <c r="DN330" s="108"/>
      <c r="DO330" s="108"/>
      <c r="DP330" s="108"/>
      <c r="DQ330" s="108"/>
      <c r="DR330" s="108"/>
      <c r="DS330" s="108"/>
      <c r="DT330" s="108"/>
      <c r="DU330" s="108"/>
      <c r="DV330" s="108"/>
      <c r="DW330" s="108"/>
      <c r="DX330" s="108"/>
      <c r="DY330" s="108"/>
      <c r="DZ330" s="108"/>
      <c r="EA330" s="108"/>
      <c r="EB330" s="108"/>
      <c r="EC330" s="108"/>
      <c r="ED330" s="108"/>
      <c r="EE330" s="108"/>
      <c r="EF330" s="108"/>
      <c r="EG330" s="108"/>
      <c r="EH330" s="108"/>
      <c r="EI330" s="108"/>
      <c r="EJ330" s="108"/>
      <c r="EK330" s="108"/>
      <c r="EL330" s="108"/>
      <c r="EM330" s="108"/>
      <c r="EN330" s="108"/>
      <c r="EO330" s="108"/>
      <c r="EP330" s="108"/>
      <c r="EQ330" s="108"/>
      <c r="ER330" s="108"/>
      <c r="ES330" s="108"/>
      <c r="ET330" s="108"/>
      <c r="EU330" s="108"/>
      <c r="EV330" s="108"/>
      <c r="EW330" s="108"/>
      <c r="EX330" s="108"/>
      <c r="EY330" s="108"/>
      <c r="EZ330" s="108"/>
      <c r="FA330" s="108"/>
      <c r="FB330" s="108"/>
      <c r="FC330" s="108"/>
      <c r="FD330" s="108"/>
      <c r="FE330" s="108"/>
      <c r="FF330" s="108"/>
      <c r="FG330" s="108"/>
      <c r="FH330" s="108"/>
      <c r="FI330" s="108"/>
      <c r="FJ330" s="108"/>
      <c r="FK330" s="108"/>
      <c r="FL330" s="108"/>
      <c r="FM330" s="108"/>
      <c r="FN330" s="108"/>
      <c r="FO330" s="108"/>
      <c r="FP330" s="108"/>
      <c r="FQ330" s="108"/>
      <c r="FR330" s="108"/>
      <c r="FS330" s="108"/>
      <c r="FT330" s="108"/>
      <c r="FU330" s="108"/>
      <c r="FV330" s="108"/>
      <c r="FW330" s="108"/>
      <c r="FX330" s="108"/>
      <c r="FY330" s="108"/>
      <c r="FZ330" s="108"/>
      <c r="GA330" s="108"/>
      <c r="GB330" s="108"/>
      <c r="GC330" s="108"/>
      <c r="GD330" s="108"/>
      <c r="GE330" s="108"/>
      <c r="GF330" s="108"/>
      <c r="GG330" s="108"/>
      <c r="GH330" s="108"/>
      <c r="GI330" s="108"/>
      <c r="GJ330" s="108"/>
      <c r="GK330" s="108"/>
      <c r="GL330" s="108"/>
      <c r="GM330" s="108"/>
      <c r="GN330" s="108"/>
      <c r="GO330" s="108"/>
      <c r="GP330" s="108"/>
      <c r="GQ330" s="108"/>
      <c r="GR330" s="108"/>
      <c r="GS330" s="108"/>
      <c r="GT330" s="108"/>
      <c r="GU330" s="108"/>
      <c r="GV330" s="108"/>
      <c r="GW330" s="108"/>
      <c r="GX330" s="108"/>
      <c r="GY330" s="108"/>
      <c r="GZ330" s="108"/>
      <c r="HA330" s="108"/>
      <c r="HB330" s="108"/>
      <c r="HC330" s="108"/>
      <c r="HD330" s="108"/>
      <c r="HE330" s="108"/>
      <c r="HF330" s="108"/>
      <c r="HG330" s="108"/>
      <c r="HH330" s="108"/>
      <c r="HI330" s="108"/>
      <c r="HJ330" s="108"/>
      <c r="HK330" s="108"/>
      <c r="HL330" s="108"/>
      <c r="HM330" s="108"/>
      <c r="HN330" s="108"/>
      <c r="HO330" s="108"/>
      <c r="HP330" s="108"/>
      <c r="HQ330" s="108"/>
      <c r="HR330" s="108"/>
      <c r="HS330" s="108"/>
      <c r="HT330" s="108"/>
      <c r="HU330" s="108"/>
      <c r="HV330" s="108"/>
      <c r="HW330" s="108"/>
      <c r="HX330" s="108"/>
      <c r="HY330" s="108"/>
      <c r="HZ330" s="108"/>
      <c r="IA330" s="108"/>
      <c r="IB330" s="108"/>
      <c r="IC330" s="108"/>
      <c r="ID330" s="108"/>
      <c r="IE330" s="108"/>
      <c r="IF330" s="108"/>
      <c r="IG330" s="108"/>
      <c r="IH330" s="108"/>
      <c r="II330" s="108"/>
      <c r="IJ330" s="108"/>
      <c r="IK330" s="108"/>
      <c r="IL330" s="108"/>
      <c r="IM330" s="108"/>
      <c r="IN330" s="108"/>
      <c r="IO330" s="108"/>
      <c r="IP330" s="108"/>
      <c r="IQ330" s="108"/>
      <c r="IR330" s="108"/>
      <c r="IS330" s="108"/>
      <c r="IT330" s="108"/>
      <c r="IU330" s="108"/>
      <c r="IV330" s="108"/>
    </row>
    <row r="332" spans="1:256" ht="12.75">
      <c r="A332" t="s">
        <v>271</v>
      </c>
      <c r="B332" s="5">
        <f>B201+B308</f>
        <v>-1.0026192921519685</v>
      </c>
      <c r="C332" s="5">
        <f>C201+C308</f>
        <v>-5.594243100525189</v>
      </c>
      <c r="D332" s="5">
        <f>D201+D308</f>
        <v>-8.085954683934913</v>
      </c>
      <c r="E332" s="5">
        <f>E201+E308</f>
        <v>-5.256381000058154</v>
      </c>
      <c r="F332" s="5">
        <f>F201+F308</f>
        <v>-3.132513656451458</v>
      </c>
      <c r="G332" s="5">
        <f>G201+G308</f>
        <v>-3.106680203755703</v>
      </c>
      <c r="H332" s="5">
        <f>H201+H308</f>
        <v>0.3056585362872185</v>
      </c>
      <c r="I332" s="5">
        <f>I201+I308</f>
        <v>3.336594122811945</v>
      </c>
      <c r="J332" s="5">
        <f>J201+J308</f>
        <v>2.2334371447821333</v>
      </c>
      <c r="K332" s="5">
        <f>K201+K308</f>
        <v>2.5980356312553123</v>
      </c>
      <c r="L332" s="5">
        <f>L201+L308</f>
        <v>3.985655993120956</v>
      </c>
      <c r="M332" s="5">
        <f>M201+M308</f>
        <v>1.118485529019819</v>
      </c>
      <c r="N332" s="5">
        <f>N201+N308</f>
        <v>-0.840543939377413</v>
      </c>
      <c r="O332" s="5">
        <f>O201+O308</f>
        <v>1.9633951897808914</v>
      </c>
      <c r="P332" s="5">
        <f>P201+P308</f>
        <v>3.1741585744664156</v>
      </c>
      <c r="Q332" s="5">
        <f>Q201+Q308</f>
        <v>2.8474804881685434</v>
      </c>
      <c r="R332" s="5">
        <f>R201+R308</f>
        <v>4.929761004511083</v>
      </c>
      <c r="S332" s="5">
        <f>S201+S308</f>
        <v>5.34820744686218</v>
      </c>
      <c r="T332" s="5">
        <f>T201+T308</f>
        <v>1.7976779474586722</v>
      </c>
      <c r="U332" s="5">
        <f>U201+U308</f>
        <v>-1.7590674186649924</v>
      </c>
      <c r="V332" s="5">
        <f>V201+V308</f>
        <v>-1.6105465392923701</v>
      </c>
      <c r="W332" s="5">
        <f>W201+W308</f>
        <v>-0.4472123961766506</v>
      </c>
      <c r="X332" s="5">
        <f>X201+X308</f>
        <v>-2.0961120752334796</v>
      </c>
      <c r="Y332" s="5">
        <f>Y201+Y308</f>
        <v>-3.828207301645431</v>
      </c>
      <c r="Z332" s="5">
        <f>Z201+Z308</f>
        <v>-5.839685778979728</v>
      </c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08"/>
      <c r="CY332" s="108"/>
      <c r="CZ332" s="108"/>
      <c r="DA332" s="108"/>
      <c r="DB332" s="108"/>
      <c r="DC332" s="108"/>
      <c r="DD332" s="108"/>
      <c r="DE332" s="108"/>
      <c r="DF332" s="108"/>
      <c r="DG332" s="108"/>
      <c r="DH332" s="108"/>
      <c r="DI332" s="108"/>
      <c r="DJ332" s="108"/>
      <c r="DK332" s="108"/>
      <c r="DL332" s="108"/>
      <c r="DM332" s="108"/>
      <c r="DN332" s="108"/>
      <c r="DO332" s="108"/>
      <c r="DP332" s="108"/>
      <c r="DQ332" s="108"/>
      <c r="DR332" s="108"/>
      <c r="DS332" s="108"/>
      <c r="DT332" s="108"/>
      <c r="DU332" s="108"/>
      <c r="DV332" s="108"/>
      <c r="DW332" s="108"/>
      <c r="DX332" s="108"/>
      <c r="DY332" s="108"/>
      <c r="DZ332" s="108"/>
      <c r="EA332" s="108"/>
      <c r="EB332" s="108"/>
      <c r="EC332" s="108"/>
      <c r="ED332" s="108"/>
      <c r="EE332" s="108"/>
      <c r="EF332" s="108"/>
      <c r="EG332" s="108"/>
      <c r="EH332" s="108"/>
      <c r="EI332" s="108"/>
      <c r="EJ332" s="108"/>
      <c r="EK332" s="108"/>
      <c r="EL332" s="108"/>
      <c r="EM332" s="108"/>
      <c r="EN332" s="108"/>
      <c r="EO332" s="108"/>
      <c r="EP332" s="108"/>
      <c r="EQ332" s="108"/>
      <c r="ER332" s="108"/>
      <c r="ES332" s="108"/>
      <c r="ET332" s="108"/>
      <c r="EU332" s="108"/>
      <c r="EV332" s="108"/>
      <c r="EW332" s="108"/>
      <c r="EX332" s="108"/>
      <c r="EY332" s="108"/>
      <c r="EZ332" s="108"/>
      <c r="FA332" s="108"/>
      <c r="FB332" s="108"/>
      <c r="FC332" s="108"/>
      <c r="FD332" s="108"/>
      <c r="FE332" s="108"/>
      <c r="FF332" s="108"/>
      <c r="FG332" s="108"/>
      <c r="FH332" s="108"/>
      <c r="FI332" s="108"/>
      <c r="FJ332" s="108"/>
      <c r="FK332" s="108"/>
      <c r="FL332" s="108"/>
      <c r="FM332" s="108"/>
      <c r="FN332" s="108"/>
      <c r="FO332" s="108"/>
      <c r="FP332" s="108"/>
      <c r="FQ332" s="108"/>
      <c r="FR332" s="108"/>
      <c r="FS332" s="108"/>
      <c r="FT332" s="108"/>
      <c r="FU332" s="108"/>
      <c r="FV332" s="108"/>
      <c r="FW332" s="108"/>
      <c r="FX332" s="108"/>
      <c r="FY332" s="108"/>
      <c r="FZ332" s="108"/>
      <c r="GA332" s="108"/>
      <c r="GB332" s="108"/>
      <c r="GC332" s="108"/>
      <c r="GD332" s="108"/>
      <c r="GE332" s="108"/>
      <c r="GF332" s="108"/>
      <c r="GG332" s="108"/>
      <c r="GH332" s="108"/>
      <c r="GI332" s="108"/>
      <c r="GJ332" s="108"/>
      <c r="GK332" s="108"/>
      <c r="GL332" s="108"/>
      <c r="GM332" s="108"/>
      <c r="GN332" s="108"/>
      <c r="GO332" s="108"/>
      <c r="GP332" s="108"/>
      <c r="GQ332" s="108"/>
      <c r="GR332" s="108"/>
      <c r="GS332" s="108"/>
      <c r="GT332" s="108"/>
      <c r="GU332" s="108"/>
      <c r="GV332" s="108"/>
      <c r="GW332" s="108"/>
      <c r="GX332" s="108"/>
      <c r="GY332" s="108"/>
      <c r="GZ332" s="108"/>
      <c r="HA332" s="108"/>
      <c r="HB332" s="108"/>
      <c r="HC332" s="108"/>
      <c r="HD332" s="108"/>
      <c r="HE332" s="108"/>
      <c r="HF332" s="108"/>
      <c r="HG332" s="108"/>
      <c r="HH332" s="108"/>
      <c r="HI332" s="108"/>
      <c r="HJ332" s="108"/>
      <c r="HK332" s="108"/>
      <c r="HL332" s="108"/>
      <c r="HM332" s="108"/>
      <c r="HN332" s="108"/>
      <c r="HO332" s="108"/>
      <c r="HP332" s="108"/>
      <c r="HQ332" s="108"/>
      <c r="HR332" s="108"/>
      <c r="HS332" s="108"/>
      <c r="HT332" s="108"/>
      <c r="HU332" s="108"/>
      <c r="HV332" s="108"/>
      <c r="HW332" s="108"/>
      <c r="HX332" s="108"/>
      <c r="HY332" s="108"/>
      <c r="HZ332" s="108"/>
      <c r="IA332" s="108"/>
      <c r="IB332" s="108"/>
      <c r="IC332" s="108"/>
      <c r="ID332" s="108"/>
      <c r="IE332" s="108"/>
      <c r="IF332" s="108"/>
      <c r="IG332" s="108"/>
      <c r="IH332" s="108"/>
      <c r="II332" s="108"/>
      <c r="IJ332" s="108"/>
      <c r="IK332" s="108"/>
      <c r="IL332" s="108"/>
      <c r="IM332" s="108"/>
      <c r="IN332" s="108"/>
      <c r="IO332" s="108"/>
      <c r="IP332" s="108"/>
      <c r="IQ332" s="108"/>
      <c r="IR332" s="108"/>
      <c r="IS332" s="108"/>
      <c r="IT332" s="108"/>
      <c r="IU332" s="108"/>
      <c r="IV332" s="108"/>
    </row>
    <row r="333" spans="1:256" ht="12.75">
      <c r="A333" t="s">
        <v>272</v>
      </c>
      <c r="B333" s="6">
        <f>B309+B202+$B$329</f>
        <v>14.177614971123944</v>
      </c>
      <c r="C333" s="6">
        <f>C309+C202+$B$329</f>
        <v>7.728879711342612</v>
      </c>
      <c r="D333" s="6">
        <f>D309+D202+$B$329</f>
        <v>42.37547071657031</v>
      </c>
      <c r="E333" s="6">
        <f>E309+E202+$B$329</f>
        <v>25.288692797822403</v>
      </c>
      <c r="F333" s="6">
        <f>F309+F202+$B$329</f>
        <v>23.638838539541666</v>
      </c>
      <c r="G333" s="6">
        <f>G309+G202+$B$329</f>
        <v>31.48510229428242</v>
      </c>
      <c r="H333" s="6">
        <f>H309+H202+$B$329</f>
        <v>10.267208169392084</v>
      </c>
      <c r="I333" s="6">
        <f>I309+I202+$B$329</f>
        <v>13.972147443614572</v>
      </c>
      <c r="J333" s="6">
        <f>J309+J202+$B$329</f>
        <v>15.053824789177114</v>
      </c>
      <c r="K333" s="6">
        <f>K309+K202+$B$329</f>
        <v>16.155976992826858</v>
      </c>
      <c r="L333" s="6">
        <f>L309+L202+$B$329</f>
        <v>17.10927275734796</v>
      </c>
      <c r="M333" s="6">
        <f>M309+M202+$B$329</f>
        <v>17.859919321238177</v>
      </c>
      <c r="N333" s="6">
        <f>N309+N202+$B$329</f>
        <v>18.811094987557432</v>
      </c>
      <c r="O333" s="6">
        <f>O309+O202+$B$329</f>
        <v>20.077206883646692</v>
      </c>
      <c r="P333" s="6">
        <f>P309+P202+$B$329</f>
        <v>21.207774948267463</v>
      </c>
      <c r="Q333" s="6">
        <f>Q309+Q202+$B$329</f>
        <v>21.790256646309828</v>
      </c>
      <c r="R333" s="6">
        <f>R309+R202+$B$329</f>
        <v>21.893357942156864</v>
      </c>
      <c r="S333" s="6">
        <f>S309+S202+$B$329</f>
        <v>21.87767352030919</v>
      </c>
      <c r="T333" s="6">
        <f>T309+T202+$B$329</f>
        <v>21.94091448087527</v>
      </c>
      <c r="U333" s="6">
        <f>U309+U202+$B$329</f>
        <v>21.91732566183106</v>
      </c>
      <c r="V333" s="6">
        <f>V309+V202+$B$329</f>
        <v>21.573990404385178</v>
      </c>
      <c r="W333" s="6">
        <f>W309+W202+$B$329</f>
        <v>20.834974546221225</v>
      </c>
      <c r="X333" s="6">
        <f>X309+X202+$B$329</f>
        <v>19.472412690828797</v>
      </c>
      <c r="Y333" s="6">
        <f>Y309+Y202+$B$329</f>
        <v>17.08862289311803</v>
      </c>
      <c r="Z333" s="6">
        <f>Z309+Z202+$B$329</f>
        <v>14.020955843481255</v>
      </c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/>
      <c r="BI333" s="110"/>
      <c r="BJ333" s="110"/>
      <c r="BK333" s="110"/>
      <c r="BL333" s="110"/>
      <c r="BM333" s="110"/>
      <c r="BN333" s="110"/>
      <c r="BO333" s="110"/>
      <c r="BP333" s="110"/>
      <c r="BQ333" s="110"/>
      <c r="BR333" s="110"/>
      <c r="BS333" s="110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0"/>
      <c r="CF333" s="110"/>
      <c r="CG333" s="110"/>
      <c r="CH333" s="110"/>
      <c r="CI333" s="110"/>
      <c r="CJ333" s="110"/>
      <c r="CK333" s="110"/>
      <c r="CL333" s="110"/>
      <c r="CM333" s="110"/>
      <c r="CN333" s="110"/>
      <c r="CO333" s="110"/>
      <c r="CP333" s="110"/>
      <c r="CQ333" s="110"/>
      <c r="CR333" s="110"/>
      <c r="CS333" s="110"/>
      <c r="CT333" s="110"/>
      <c r="CU333" s="110"/>
      <c r="CV333" s="110"/>
      <c r="CW333" s="110"/>
      <c r="CX333" s="110"/>
      <c r="CY333" s="110"/>
      <c r="CZ333" s="110"/>
      <c r="DA333" s="110"/>
      <c r="DB333" s="110"/>
      <c r="DC333" s="110"/>
      <c r="DD333" s="110"/>
      <c r="DE333" s="110"/>
      <c r="DF333" s="110"/>
      <c r="DG333" s="110"/>
      <c r="DH333" s="110"/>
      <c r="DI333" s="110"/>
      <c r="DJ333" s="110"/>
      <c r="DK333" s="110"/>
      <c r="DL333" s="110"/>
      <c r="DM333" s="110"/>
      <c r="DN333" s="110"/>
      <c r="DO333" s="110"/>
      <c r="DP333" s="110"/>
      <c r="DQ333" s="110"/>
      <c r="DR333" s="110"/>
      <c r="DS333" s="110"/>
      <c r="DT333" s="110"/>
      <c r="DU333" s="110"/>
      <c r="DV333" s="110"/>
      <c r="DW333" s="110"/>
      <c r="DX333" s="110"/>
      <c r="DY333" s="110"/>
      <c r="DZ333" s="110"/>
      <c r="EA333" s="110"/>
      <c r="EB333" s="110"/>
      <c r="EC333" s="110"/>
      <c r="ED333" s="110"/>
      <c r="EE333" s="110"/>
      <c r="EF333" s="110"/>
      <c r="EG333" s="110"/>
      <c r="EH333" s="110"/>
      <c r="EI333" s="110"/>
      <c r="EJ333" s="110"/>
      <c r="EK333" s="110"/>
      <c r="EL333" s="110"/>
      <c r="EM333" s="110"/>
      <c r="EN333" s="110"/>
      <c r="EO333" s="110"/>
      <c r="EP333" s="110"/>
      <c r="EQ333" s="110"/>
      <c r="ER333" s="110"/>
      <c r="ES333" s="110"/>
      <c r="ET333" s="110"/>
      <c r="EU333" s="110"/>
      <c r="EV333" s="110"/>
      <c r="EW333" s="110"/>
      <c r="EX333" s="110"/>
      <c r="EY333" s="110"/>
      <c r="EZ333" s="110"/>
      <c r="FA333" s="110"/>
      <c r="FB333" s="110"/>
      <c r="FC333" s="110"/>
      <c r="FD333" s="110"/>
      <c r="FE333" s="110"/>
      <c r="FF333" s="110"/>
      <c r="FG333" s="110"/>
      <c r="FH333" s="110"/>
      <c r="FI333" s="110"/>
      <c r="FJ333" s="110"/>
      <c r="FK333" s="110"/>
      <c r="FL333" s="110"/>
      <c r="FM333" s="110"/>
      <c r="FN333" s="110"/>
      <c r="FO333" s="110"/>
      <c r="FP333" s="110"/>
      <c r="FQ333" s="110"/>
      <c r="FR333" s="110"/>
      <c r="FS333" s="110"/>
      <c r="FT333" s="110"/>
      <c r="FU333" s="110"/>
      <c r="FV333" s="110"/>
      <c r="FW333" s="110"/>
      <c r="FX333" s="110"/>
      <c r="FY333" s="110"/>
      <c r="FZ333" s="110"/>
      <c r="GA333" s="110"/>
      <c r="GB333" s="110"/>
      <c r="GC333" s="110"/>
      <c r="GD333" s="110"/>
      <c r="GE333" s="110"/>
      <c r="GF333" s="110"/>
      <c r="GG333" s="110"/>
      <c r="GH333" s="110"/>
      <c r="GI333" s="110"/>
      <c r="GJ333" s="110"/>
      <c r="GK333" s="110"/>
      <c r="GL333" s="110"/>
      <c r="GM333" s="110"/>
      <c r="GN333" s="110"/>
      <c r="GO333" s="110"/>
      <c r="GP333" s="110"/>
      <c r="GQ333" s="110"/>
      <c r="GR333" s="110"/>
      <c r="GS333" s="110"/>
      <c r="GT333" s="110"/>
      <c r="GU333" s="110"/>
      <c r="GV333" s="110"/>
      <c r="GW333" s="110"/>
      <c r="GX333" s="110"/>
      <c r="GY333" s="110"/>
      <c r="GZ333" s="110"/>
      <c r="HA333" s="110"/>
      <c r="HB333" s="110"/>
      <c r="HC333" s="110"/>
      <c r="HD333" s="110"/>
      <c r="HE333" s="110"/>
      <c r="HF333" s="110"/>
      <c r="HG333" s="110"/>
      <c r="HH333" s="110"/>
      <c r="HI333" s="110"/>
      <c r="HJ333" s="110"/>
      <c r="HK333" s="110"/>
      <c r="HL333" s="110"/>
      <c r="HM333" s="110"/>
      <c r="HN333" s="110"/>
      <c r="HO333" s="110"/>
      <c r="HP333" s="110"/>
      <c r="HQ333" s="110"/>
      <c r="HR333" s="110"/>
      <c r="HS333" s="110"/>
      <c r="HT333" s="110"/>
      <c r="HU333" s="110"/>
      <c r="HV333" s="110"/>
      <c r="HW333" s="110"/>
      <c r="HX333" s="110"/>
      <c r="HY333" s="110"/>
      <c r="HZ333" s="110"/>
      <c r="IA333" s="110"/>
      <c r="IB333" s="110"/>
      <c r="IC333" s="110"/>
      <c r="ID333" s="110"/>
      <c r="IE333" s="110"/>
      <c r="IF333" s="110"/>
      <c r="IG333" s="110"/>
      <c r="IH333" s="110"/>
      <c r="II333" s="110"/>
      <c r="IJ333" s="110"/>
      <c r="IK333" s="110"/>
      <c r="IL333" s="110"/>
      <c r="IM333" s="110"/>
      <c r="IN333" s="110"/>
      <c r="IO333" s="110"/>
      <c r="IP333" s="110"/>
      <c r="IQ333" s="110"/>
      <c r="IR333" s="110"/>
      <c r="IS333" s="110"/>
      <c r="IT333" s="110"/>
      <c r="IU333" s="110"/>
      <c r="IV333" s="110"/>
    </row>
    <row r="334" spans="1:256" ht="12.75">
      <c r="A334" t="s">
        <v>273</v>
      </c>
      <c r="B334" s="5">
        <f>B203+B330-B201*(B140-B25)-B308*(B56-B25)+(B202+$B$329)*(B139-B24)+B309*(B55-B24)</f>
        <v>15.910388213568675</v>
      </c>
      <c r="C334" s="5">
        <f>C203+C330-C201*(C140-C25)-C308*(C56-C25)+(C202+$B$329)*(C139-C24)+C309*(C55-C24)</f>
        <v>30.610816761179926</v>
      </c>
      <c r="D334" s="5">
        <f>D203+D330-D201*(D140-D25)-D308*(D56-D25)+(D202+$B$329)*(D139-D24)+D309*(D55-D24)</f>
        <v>231.31619436541985</v>
      </c>
      <c r="E334" s="5">
        <f>E203+E330-E201*(E140-E25)-E308*(E56-E25)+(E202+$B$329)*(E139-E24)+E309*(E55-E24)</f>
        <v>140.6251786580372</v>
      </c>
      <c r="F334" s="5">
        <f>F203+F330-F201*(F140-F25)-F308*(F56-F25)+(F202+$B$329)*(F139-F24)+F309*(F55-F24)</f>
        <v>136.47451621819374</v>
      </c>
      <c r="G334" s="5">
        <f>G203+G330-G201*(G140-G25)-G308*(G56-G25)+(G202+$B$329)*(G139-G24)+G309*(G55-G24)</f>
        <v>211.5479253437224</v>
      </c>
      <c r="H334" s="5">
        <f>H203+H330-H201*(H140-H25)-H308*(H56-H25)+(H202+$B$329)*(H139-H24)+H309*(H55-H24)</f>
        <v>59.99669595948762</v>
      </c>
      <c r="I334" s="5">
        <f>I203+I330-I201*(I140-I25)-I308*(I56-I25)+(I202+$B$329)*(I139-I24)+I309*(I55-I24)</f>
        <v>56.63976640172817</v>
      </c>
      <c r="J334" s="5">
        <f>J203+J330-J201*(J140-J25)-J308*(J56-J25)+(J202+$B$329)*(J139-J24)+J309*(J55-J24)</f>
        <v>77.15215680574869</v>
      </c>
      <c r="K334" s="5">
        <f>K203+K330-K201*(K140-K25)-K308*(K56-K25)+(K202+$B$329)*(K139-K24)+K309*(K55-K24)</f>
        <v>81.67654626810207</v>
      </c>
      <c r="L334" s="5">
        <f>L203+L330-L201*(L140-L25)-L308*(L56-L25)+(L202+$B$329)*(L139-L24)+L309*(L55-L24)</f>
        <v>72.7101486461991</v>
      </c>
      <c r="M334" s="5">
        <f>M203+M330-M201*(M140-M25)-M308*(M56-M25)+(M202+$B$329)*(M139-M24)+M309*(M55-M24)</f>
        <v>92.07926037694976</v>
      </c>
      <c r="N334" s="5">
        <f>N203+N330-N201*(N140-N25)-N308*(N56-N25)+(N202+$B$329)*(N139-N24)+N309*(N55-N24)</f>
        <v>103.88946386898968</v>
      </c>
      <c r="O334" s="5">
        <f>O203+O330-O201*(O140-O25)-O308*(O56-O25)+(O202+$B$329)*(O139-O24)+O309*(O55-O24)</f>
        <v>73.38608855957679</v>
      </c>
      <c r="P334" s="5">
        <f>P203+P330-P201*(P140-P25)-P308*(P56-P25)+(P202+$B$329)*(P139-P24)+P309*(P55-P24)</f>
        <v>51.51524091274946</v>
      </c>
      <c r="Q334" s="5">
        <f>Q203+Q330-Q201*(Q140-Q25)-Q308*(Q56-Q25)+(Q202+$B$329)*(Q139-Q24)+Q309*(Q55-Q24)</f>
        <v>38.876841848010386</v>
      </c>
      <c r="R334" s="5">
        <f>R203+R330-R201*(R140-R25)-R308*(R56-R25)+(R202+$B$329)*(R139-R24)+R309*(R55-R24)</f>
        <v>0.29639917164679375</v>
      </c>
      <c r="S334" s="5">
        <f>S203+S330-S201*(S140-S25)-S308*(S56-S25)+(S202+$B$329)*(S139-S24)+S309*(S55-S24)</f>
        <v>-22.725468797777218</v>
      </c>
      <c r="T334" s="5">
        <f>T203+T330-T201*(T140-T25)-T308*(T56-T25)+(T202+$B$329)*(T139-T24)+T309*(T55-T24)</f>
        <v>-5.659583938083715</v>
      </c>
      <c r="U334" s="5">
        <f>U203+U330-U201*(U140-U25)-U308*(U56-U25)+(U202+$B$329)*(U139-U24)+U309*(U55-U24)</f>
        <v>10.650659865915348</v>
      </c>
      <c r="V334" s="5">
        <f>V203+V330-V201*(V140-V25)-V308*(V56-V25)+(V202+$B$329)*(V139-V24)+V309*(V55-V24)</f>
        <v>-26.26437024017792</v>
      </c>
      <c r="W334" s="5">
        <f>W203+W330-W201*(W140-W25)-W308*(W56-W25)+(W202+$B$329)*(W139-W24)+W309*(W55-W24)</f>
        <v>91.92312479127365</v>
      </c>
      <c r="X334" s="5">
        <f>X203+X330-X201*(X140-X25)-X308*(X56-X25)+(X202+$B$329)*(X139-X24)+X309*(X55-X24)</f>
        <v>45.52852310073565</v>
      </c>
      <c r="Y334" s="5">
        <f>Y203+Y330-Y201*(Y140-Y25)-Y308*(Y56-Y25)+(Y202+$B$329)*(Y139-Y24)+Y309*(Y55-Y24)</f>
        <v>54.751068746510995</v>
      </c>
      <c r="Z334" s="5">
        <f>Z203+Z330-Z201*(Z140-Z25)-Z308*(Z56-Z25)+(Z202+$B$329)*(Z139-Z24)+Z309*(Z55-Z24)</f>
        <v>62.62394997901779</v>
      </c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08"/>
      <c r="CY334" s="108"/>
      <c r="CZ334" s="108"/>
      <c r="DA334" s="108"/>
      <c r="DB334" s="108"/>
      <c r="DC334" s="108"/>
      <c r="DD334" s="108"/>
      <c r="DE334" s="108"/>
      <c r="DF334" s="108"/>
      <c r="DG334" s="108"/>
      <c r="DH334" s="108"/>
      <c r="DI334" s="108"/>
      <c r="DJ334" s="108"/>
      <c r="DK334" s="108"/>
      <c r="DL334" s="108"/>
      <c r="DM334" s="108"/>
      <c r="DN334" s="108"/>
      <c r="DO334" s="108"/>
      <c r="DP334" s="108"/>
      <c r="DQ334" s="108"/>
      <c r="DR334" s="108"/>
      <c r="DS334" s="108"/>
      <c r="DT334" s="108"/>
      <c r="DU334" s="108"/>
      <c r="DV334" s="108"/>
      <c r="DW334" s="108"/>
      <c r="DX334" s="108"/>
      <c r="DY334" s="108"/>
      <c r="DZ334" s="108"/>
      <c r="EA334" s="108"/>
      <c r="EB334" s="108"/>
      <c r="EC334" s="108"/>
      <c r="ED334" s="108"/>
      <c r="EE334" s="108"/>
      <c r="EF334" s="108"/>
      <c r="EG334" s="108"/>
      <c r="EH334" s="108"/>
      <c r="EI334" s="108"/>
      <c r="EJ334" s="108"/>
      <c r="EK334" s="108"/>
      <c r="EL334" s="108"/>
      <c r="EM334" s="108"/>
      <c r="EN334" s="108"/>
      <c r="EO334" s="108"/>
      <c r="EP334" s="108"/>
      <c r="EQ334" s="108"/>
      <c r="ER334" s="108"/>
      <c r="ES334" s="108"/>
      <c r="ET334" s="108"/>
      <c r="EU334" s="108"/>
      <c r="EV334" s="108"/>
      <c r="EW334" s="108"/>
      <c r="EX334" s="108"/>
      <c r="EY334" s="108"/>
      <c r="EZ334" s="108"/>
      <c r="FA334" s="108"/>
      <c r="FB334" s="108"/>
      <c r="FC334" s="108"/>
      <c r="FD334" s="108"/>
      <c r="FE334" s="108"/>
      <c r="FF334" s="108"/>
      <c r="FG334" s="108"/>
      <c r="FH334" s="108"/>
      <c r="FI334" s="108"/>
      <c r="FJ334" s="108"/>
      <c r="FK334" s="108"/>
      <c r="FL334" s="108"/>
      <c r="FM334" s="108"/>
      <c r="FN334" s="108"/>
      <c r="FO334" s="108"/>
      <c r="FP334" s="108"/>
      <c r="FQ334" s="108"/>
      <c r="FR334" s="108"/>
      <c r="FS334" s="108"/>
      <c r="FT334" s="108"/>
      <c r="FU334" s="108"/>
      <c r="FV334" s="108"/>
      <c r="FW334" s="108"/>
      <c r="FX334" s="108"/>
      <c r="FY334" s="108"/>
      <c r="FZ334" s="108"/>
      <c r="GA334" s="108"/>
      <c r="GB334" s="108"/>
      <c r="GC334" s="108"/>
      <c r="GD334" s="108"/>
      <c r="GE334" s="108"/>
      <c r="GF334" s="108"/>
      <c r="GG334" s="108"/>
      <c r="GH334" s="108"/>
      <c r="GI334" s="108"/>
      <c r="GJ334" s="108"/>
      <c r="GK334" s="108"/>
      <c r="GL334" s="108"/>
      <c r="GM334" s="108"/>
      <c r="GN334" s="108"/>
      <c r="GO334" s="108"/>
      <c r="GP334" s="108"/>
      <c r="GQ334" s="108"/>
      <c r="GR334" s="108"/>
      <c r="GS334" s="108"/>
      <c r="GT334" s="108"/>
      <c r="GU334" s="108"/>
      <c r="GV334" s="108"/>
      <c r="GW334" s="108"/>
      <c r="GX334" s="108"/>
      <c r="GY334" s="108"/>
      <c r="GZ334" s="108"/>
      <c r="HA334" s="108"/>
      <c r="HB334" s="108"/>
      <c r="HC334" s="108"/>
      <c r="HD334" s="108"/>
      <c r="HE334" s="108"/>
      <c r="HF334" s="108"/>
      <c r="HG334" s="108"/>
      <c r="HH334" s="108"/>
      <c r="HI334" s="108"/>
      <c r="HJ334" s="108"/>
      <c r="HK334" s="108"/>
      <c r="HL334" s="108"/>
      <c r="HM334" s="108"/>
      <c r="HN334" s="108"/>
      <c r="HO334" s="108"/>
      <c r="HP334" s="108"/>
      <c r="HQ334" s="108"/>
      <c r="HR334" s="108"/>
      <c r="HS334" s="108"/>
      <c r="HT334" s="108"/>
      <c r="HU334" s="108"/>
      <c r="HV334" s="108"/>
      <c r="HW334" s="108"/>
      <c r="HX334" s="108"/>
      <c r="HY334" s="108"/>
      <c r="HZ334" s="108"/>
      <c r="IA334" s="108"/>
      <c r="IB334" s="108"/>
      <c r="IC334" s="108"/>
      <c r="ID334" s="108"/>
      <c r="IE334" s="108"/>
      <c r="IF334" s="108"/>
      <c r="IG334" s="108"/>
      <c r="IH334" s="108"/>
      <c r="II334" s="108"/>
      <c r="IJ334" s="108"/>
      <c r="IK334" s="108"/>
      <c r="IL334" s="108"/>
      <c r="IM334" s="108"/>
      <c r="IN334" s="108"/>
      <c r="IO334" s="108"/>
      <c r="IP334" s="108"/>
      <c r="IQ334" s="108"/>
      <c r="IR334" s="108"/>
      <c r="IS334" s="108"/>
      <c r="IT334" s="108"/>
      <c r="IU334" s="108"/>
      <c r="IV334" s="108"/>
    </row>
    <row r="335" spans="1:256" ht="12.75">
      <c r="A335" t="s">
        <v>336</v>
      </c>
      <c r="B335" s="5">
        <f>B332*B26+B333*B27+B334*B38-(B228+B229+B236+B237+B212+B213+B220+B221+B244+B245+B252+B253+B204+B205)-B266-B267</f>
        <v>0</v>
      </c>
      <c r="C335" s="5">
        <f>C332*C26+C333*C27+C334*C38-(C228+C229+C236+C237+C212+C213+C220+C221+C244+C245+C252+C253+C204+C205)-C266-C267</f>
        <v>0</v>
      </c>
      <c r="D335" s="5">
        <f>D332*D26+D333*D27+D334*D38-(D228+D229+D236+D237+D212+D213+D220+D221+D244+D245+D252+D253+D204+D205)-D266-D267</f>
        <v>-3.375077994860476E-14</v>
      </c>
      <c r="E335" s="5">
        <f>E332*E26+E333*E27+E334*E38-(E228+E229+E236+E237+E212+E213+E220+E221+E244+E245+E252+E253+E204+E205)-E266-E267</f>
        <v>0</v>
      </c>
      <c r="F335" s="5">
        <f>F332*F26+F333*F27+F334*F38-(F228+F229+F236+F237+F212+F213+F220+F221+F244+F245+F252+F253+F204+F205)-F266-F267</f>
        <v>0</v>
      </c>
      <c r="G335" s="5">
        <f>G332*G26+G333*G27+G334*G38-(G228+G229+G236+G237+G212+G213+G220+G221+G244+G245+G252+G253+G204+G205)-G266-G267</f>
        <v>4.551914400963142E-15</v>
      </c>
      <c r="H335" s="5">
        <f>H332*H26+H333*H27+H334*H38-(H228+H229+H236+H237+H212+H213+H220+H221+H244+H245+H252+H253+H204+H205)-H266-H267</f>
        <v>0</v>
      </c>
      <c r="I335" s="5">
        <f>I332*I26+I333*I27+I334*I38-(I228+I229+I236+I237+I212+I213+I220+I221+I244+I245+I252+I253+I204+I205)-I266-I267</f>
        <v>0</v>
      </c>
      <c r="J335" s="5">
        <f>J332*J26+J333*J27+J334*J38-(J228+J229+J236+J237+J212+J213+J220+J221+J244+J245+J252+J253+J204+J205)-J266-J267</f>
        <v>0</v>
      </c>
      <c r="K335" s="5">
        <f>K332*K26+K333*K27+K334*K38-(K228+K229+K236+K237+K212+K213+K220+K221+K244+K245+K252+K253+K204+K205)-K266-K267</f>
        <v>0</v>
      </c>
      <c r="L335" s="5">
        <f>L332*L26+L333*L27+L334*L38-(L228+L229+L236+L237+L212+L213+L220+L221+L244+L245+L252+L253+L204+L205)-L266-L267</f>
        <v>7.993605777301127E-15</v>
      </c>
      <c r="M335" s="5">
        <f>M332*M26+M333*M27+M334*M38-(M228+M229+M236+M237+M212+M213+M220+M221+M244+M245+M252+M253+M204+M205)-M266-M267</f>
        <v>1.2878587085651816E-14</v>
      </c>
      <c r="N335" s="5">
        <f>N332*N26+N333*N27+N334*N38-(N228+N229+N236+N237+N212+N213+N220+N221+N244+N245+N252+N253+N204+N205)-N266-N267</f>
        <v>0</v>
      </c>
      <c r="O335" s="5">
        <f>O332*O26+O333*O27+O334*O38-(O228+O229+O236+O237+O212+O213+O220+O221+O244+O245+O252+O253+O204+O205)-O266-O267</f>
        <v>-9.325873406851315E-15</v>
      </c>
      <c r="P335" s="5">
        <f>P332*P26+P333*P27+P334*P38-(P228+P229+P236+P237+P212+P213+P220+P221+P244+P245+P252+P253+P204+P205)-P266-P267</f>
        <v>-2.3314683517128287E-15</v>
      </c>
      <c r="Q335" s="5">
        <f>Q332*Q26+Q333*Q27+Q334*Q38-(Q228+Q229+Q236+Q237+Q212+Q213+Q220+Q221+Q244+Q245+Q252+Q253+Q204+Q205)-Q266-Q267</f>
        <v>9.325873406851315E-15</v>
      </c>
      <c r="R335" s="5">
        <f>R332*R26+R333*R27+R334*R38-(R228+R229+R236+R237+R212+R213+R220+R221+R244+R245+R252+R253+R204+R205)-R266-R267</f>
        <v>3.552713678800501E-15</v>
      </c>
      <c r="S335" s="5">
        <f>S332*S26+S333*S27+S334*S38-(S228+S229+S236+S237+S212+S213+S220+S221+S244+S245+S252+S253+S204+S205)-S266-S267</f>
        <v>8.291978215169138E-15</v>
      </c>
      <c r="T335" s="5">
        <f>T332*T26+T333*T27+T334*T38-(T228+T229+T236+T237+T212+T213+T220+T221+T244+T245+T252+T253+T204+T205)-T266-T267</f>
        <v>6.5503158452884236E-15</v>
      </c>
      <c r="U335" s="5">
        <f>U332*U26+U333*U27+U334*U38-(U228+U229+U236+U237+U212+U213+U220+U221+U244+U245+U252+U253+U204+U205)-U266-U267</f>
        <v>-7.993605777301127E-15</v>
      </c>
      <c r="V335" s="5">
        <f>V332*V26+V333*V27+V334*V38-(V228+V229+V236+V237+V212+V213+V220+V221+V244+V245+V252+V253+V204+V205)-V266-V267</f>
        <v>0</v>
      </c>
      <c r="W335" s="5">
        <f>W332*W26+W333*W27+W334*W38-(W228+W229+W236+W237+W212+W213+W220+W221+W244+W245+W252+W253+W204+W205)-W266-W267</f>
        <v>0</v>
      </c>
      <c r="X335" s="5">
        <f>X332*X26+X333*X27+X334*X38-(X228+X229+X236+X237+X212+X213+X220+X221+X244+X245+X252+X253+X204+X205)-X266-X267</f>
        <v>0</v>
      </c>
      <c r="Y335" s="5">
        <f>Y332*Y26+Y333*Y27+Y334*Y38-(Y228+Y229+Y236+Y237+Y212+Y213+Y220+Y221+Y244+Y245+Y252+Y253+Y204+Y205)-Y266-Y267</f>
        <v>0</v>
      </c>
      <c r="Z335" s="5">
        <f>Z332*Z26+Z333*Z27+Z334*Z38-(Z228+Z229+Z236+Z237+Z212+Z213+Z220+Z221+Z244+Z245+Z252+Z253+Z204+Z205)-Z266-Z267</f>
        <v>3.3995269168134398E-15</v>
      </c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  <c r="DH335" s="108"/>
      <c r="DI335" s="108"/>
      <c r="DJ335" s="108"/>
      <c r="DK335" s="108"/>
      <c r="DL335" s="108"/>
      <c r="DM335" s="108"/>
      <c r="DN335" s="108"/>
      <c r="DO335" s="108"/>
      <c r="DP335" s="108"/>
      <c r="DQ335" s="108"/>
      <c r="DR335" s="108"/>
      <c r="DS335" s="108"/>
      <c r="DT335" s="108"/>
      <c r="DU335" s="108"/>
      <c r="DV335" s="108"/>
      <c r="DW335" s="108"/>
      <c r="DX335" s="108"/>
      <c r="DY335" s="108"/>
      <c r="DZ335" s="108"/>
      <c r="EA335" s="108"/>
      <c r="EB335" s="108"/>
      <c r="EC335" s="108"/>
      <c r="ED335" s="108"/>
      <c r="EE335" s="108"/>
      <c r="EF335" s="108"/>
      <c r="EG335" s="108"/>
      <c r="EH335" s="108"/>
      <c r="EI335" s="108"/>
      <c r="EJ335" s="108"/>
      <c r="EK335" s="108"/>
      <c r="EL335" s="108"/>
      <c r="EM335" s="108"/>
      <c r="EN335" s="108"/>
      <c r="EO335" s="108"/>
      <c r="EP335" s="108"/>
      <c r="EQ335" s="108"/>
      <c r="ER335" s="108"/>
      <c r="ES335" s="108"/>
      <c r="ET335" s="108"/>
      <c r="EU335" s="108"/>
      <c r="EV335" s="108"/>
      <c r="EW335" s="108"/>
      <c r="EX335" s="108"/>
      <c r="EY335" s="108"/>
      <c r="EZ335" s="108"/>
      <c r="FA335" s="108"/>
      <c r="FB335" s="108"/>
      <c r="FC335" s="108"/>
      <c r="FD335" s="108"/>
      <c r="FE335" s="108"/>
      <c r="FF335" s="108"/>
      <c r="FG335" s="108"/>
      <c r="FH335" s="108"/>
      <c r="FI335" s="108"/>
      <c r="FJ335" s="108"/>
      <c r="FK335" s="108"/>
      <c r="FL335" s="108"/>
      <c r="FM335" s="108"/>
      <c r="FN335" s="108"/>
      <c r="FO335" s="108"/>
      <c r="FP335" s="108"/>
      <c r="FQ335" s="108"/>
      <c r="FR335" s="108"/>
      <c r="FS335" s="108"/>
      <c r="FT335" s="108"/>
      <c r="FU335" s="108"/>
      <c r="FV335" s="108"/>
      <c r="FW335" s="108"/>
      <c r="FX335" s="108"/>
      <c r="FY335" s="108"/>
      <c r="FZ335" s="108"/>
      <c r="GA335" s="108"/>
      <c r="GB335" s="108"/>
      <c r="GC335" s="108"/>
      <c r="GD335" s="108"/>
      <c r="GE335" s="108"/>
      <c r="GF335" s="108"/>
      <c r="GG335" s="108"/>
      <c r="GH335" s="108"/>
      <c r="GI335" s="108"/>
      <c r="GJ335" s="108"/>
      <c r="GK335" s="108"/>
      <c r="GL335" s="108"/>
      <c r="GM335" s="108"/>
      <c r="GN335" s="108"/>
      <c r="GO335" s="108"/>
      <c r="GP335" s="108"/>
      <c r="GQ335" s="108"/>
      <c r="GR335" s="108"/>
      <c r="GS335" s="108"/>
      <c r="GT335" s="108"/>
      <c r="GU335" s="108"/>
      <c r="GV335" s="108"/>
      <c r="GW335" s="108"/>
      <c r="GX335" s="108"/>
      <c r="GY335" s="108"/>
      <c r="GZ335" s="108"/>
      <c r="HA335" s="108"/>
      <c r="HB335" s="108"/>
      <c r="HC335" s="108"/>
      <c r="HD335" s="108"/>
      <c r="HE335" s="108"/>
      <c r="HF335" s="108"/>
      <c r="HG335" s="108"/>
      <c r="HH335" s="108"/>
      <c r="HI335" s="108"/>
      <c r="HJ335" s="108"/>
      <c r="HK335" s="108"/>
      <c r="HL335" s="108"/>
      <c r="HM335" s="108"/>
      <c r="HN335" s="108"/>
      <c r="HO335" s="108"/>
      <c r="HP335" s="108"/>
      <c r="HQ335" s="108"/>
      <c r="HR335" s="108"/>
      <c r="HS335" s="108"/>
      <c r="HT335" s="108"/>
      <c r="HU335" s="108"/>
      <c r="HV335" s="108"/>
      <c r="HW335" s="108"/>
      <c r="HX335" s="108"/>
      <c r="HY335" s="108"/>
      <c r="HZ335" s="108"/>
      <c r="IA335" s="108"/>
      <c r="IB335" s="108"/>
      <c r="IC335" s="108"/>
      <c r="ID335" s="108"/>
      <c r="IE335" s="108"/>
      <c r="IF335" s="108"/>
      <c r="IG335" s="108"/>
      <c r="IH335" s="108"/>
      <c r="II335" s="108"/>
      <c r="IJ335" s="108"/>
      <c r="IK335" s="108"/>
      <c r="IL335" s="108"/>
      <c r="IM335" s="108"/>
      <c r="IN335" s="108"/>
      <c r="IO335" s="108"/>
      <c r="IP335" s="108"/>
      <c r="IQ335" s="108"/>
      <c r="IR335" s="108"/>
      <c r="IS335" s="108"/>
      <c r="IT335" s="108"/>
      <c r="IU335" s="108"/>
      <c r="IV335" s="108"/>
    </row>
    <row r="337" spans="1:26" s="121" customFormat="1" ht="12.75">
      <c r="A337" s="46"/>
      <c r="B337" s="46"/>
      <c r="C337" s="80" t="s">
        <v>133</v>
      </c>
      <c r="D337" s="80"/>
      <c r="E337" s="80"/>
      <c r="F337" s="80"/>
      <c r="G337" s="80"/>
      <c r="H337" s="80"/>
      <c r="I337" s="80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56" ht="12.75">
      <c r="A338" t="s">
        <v>274</v>
      </c>
      <c r="B338" s="5">
        <f>B334*B38/B20</f>
        <v>-10.37634013928392</v>
      </c>
      <c r="C338" s="5">
        <f>C334*C38/C20</f>
        <v>-19.502237636300077</v>
      </c>
      <c r="D338" s="5">
        <f>D334*D38/D20</f>
        <v>-117.30591740290654</v>
      </c>
      <c r="E338" s="5">
        <f>E334*E38/E20</f>
        <v>-49.20214279600072</v>
      </c>
      <c r="F338" s="5">
        <f>F334*F38/F20</f>
        <v>-28.990496044120913</v>
      </c>
      <c r="G338" s="5">
        <f>G334*G38/G20</f>
        <v>-21.904063800155022</v>
      </c>
      <c r="H338" s="5">
        <f>H334*H38/H20</f>
        <v>-1.0829545746647071</v>
      </c>
      <c r="I338" s="5">
        <f>I334*I38/I20</f>
        <v>2.893450150864337</v>
      </c>
      <c r="J338" s="5">
        <f>J334*J38/J20</f>
        <v>8.437494672231853</v>
      </c>
      <c r="K338" s="5">
        <f>K334*K38/K20</f>
        <v>13.097224411922603</v>
      </c>
      <c r="L338" s="5">
        <f>L334*L38/L20</f>
        <v>14.97934346263395</v>
      </c>
      <c r="M338" s="5">
        <f>M334*M38/M20</f>
        <v>22.74460264042977</v>
      </c>
      <c r="N338" s="5">
        <f>N334*N38/N20</f>
        <v>29.40267845348765</v>
      </c>
      <c r="O338" s="5">
        <f>O334*O38/O20</f>
        <v>22.965542092832163</v>
      </c>
      <c r="P338" s="5">
        <f>P334*P38/P20</f>
        <v>17.26127094778036</v>
      </c>
      <c r="Q338" s="5">
        <f>Q334*Q38/Q20</f>
        <v>13.495715176737187</v>
      </c>
      <c r="R338" s="5">
        <f>R334*R38/R20</f>
        <v>0.10261302890222884</v>
      </c>
      <c r="S338" s="5">
        <f>S334*S38/S20</f>
        <v>-7.459856484180153</v>
      </c>
      <c r="T338" s="5">
        <f>T334*T38/T20</f>
        <v>-1.6281081621978535</v>
      </c>
      <c r="U338" s="5">
        <f>U334*U38/U20</f>
        <v>2.303913297209843</v>
      </c>
      <c r="V338" s="5">
        <f>V334*V38/V20</f>
        <v>-2.711377886581265</v>
      </c>
      <c r="W338" s="5">
        <f>W334*W38/W20</f>
        <v>-5.772731014998776</v>
      </c>
      <c r="X338" s="5">
        <f>X334*X38/X20</f>
        <v>-12.792218813523045</v>
      </c>
      <c r="Y338" s="5">
        <f>Y334*Y38/Y20</f>
        <v>-27.90177008323163</v>
      </c>
      <c r="Z338" s="5">
        <f>Z334*Z38/Z20</f>
        <v>-40.84170650805508</v>
      </c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08"/>
      <c r="CY338" s="108"/>
      <c r="CZ338" s="108"/>
      <c r="DA338" s="108"/>
      <c r="DB338" s="108"/>
      <c r="DC338" s="108"/>
      <c r="DD338" s="108"/>
      <c r="DE338" s="108"/>
      <c r="DF338" s="108"/>
      <c r="DG338" s="108"/>
      <c r="DH338" s="108"/>
      <c r="DI338" s="108"/>
      <c r="DJ338" s="108"/>
      <c r="DK338" s="108"/>
      <c r="DL338" s="108"/>
      <c r="DM338" s="108"/>
      <c r="DN338" s="108"/>
      <c r="DO338" s="108"/>
      <c r="DP338" s="108"/>
      <c r="DQ338" s="108"/>
      <c r="DR338" s="108"/>
      <c r="DS338" s="108"/>
      <c r="DT338" s="108"/>
      <c r="DU338" s="108"/>
      <c r="DV338" s="108"/>
      <c r="DW338" s="108"/>
      <c r="DX338" s="108"/>
      <c r="DY338" s="108"/>
      <c r="DZ338" s="108"/>
      <c r="EA338" s="108"/>
      <c r="EB338" s="108"/>
      <c r="EC338" s="108"/>
      <c r="ED338" s="108"/>
      <c r="EE338" s="108"/>
      <c r="EF338" s="108"/>
      <c r="EG338" s="108"/>
      <c r="EH338" s="108"/>
      <c r="EI338" s="108"/>
      <c r="EJ338" s="108"/>
      <c r="EK338" s="108"/>
      <c r="EL338" s="108"/>
      <c r="EM338" s="108"/>
      <c r="EN338" s="108"/>
      <c r="EO338" s="108"/>
      <c r="EP338" s="108"/>
      <c r="EQ338" s="108"/>
      <c r="ER338" s="108"/>
      <c r="ES338" s="108"/>
      <c r="ET338" s="108"/>
      <c r="EU338" s="108"/>
      <c r="EV338" s="108"/>
      <c r="EW338" s="108"/>
      <c r="EX338" s="108"/>
      <c r="EY338" s="108"/>
      <c r="EZ338" s="108"/>
      <c r="FA338" s="108"/>
      <c r="FB338" s="108"/>
      <c r="FC338" s="108"/>
      <c r="FD338" s="108"/>
      <c r="FE338" s="108"/>
      <c r="FF338" s="108"/>
      <c r="FG338" s="108"/>
      <c r="FH338" s="108"/>
      <c r="FI338" s="108"/>
      <c r="FJ338" s="108"/>
      <c r="FK338" s="108"/>
      <c r="FL338" s="108"/>
      <c r="FM338" s="108"/>
      <c r="FN338" s="108"/>
      <c r="FO338" s="108"/>
      <c r="FP338" s="108"/>
      <c r="FQ338" s="108"/>
      <c r="FR338" s="108"/>
      <c r="FS338" s="108"/>
      <c r="FT338" s="108"/>
      <c r="FU338" s="108"/>
      <c r="FV338" s="108"/>
      <c r="FW338" s="108"/>
      <c r="FX338" s="108"/>
      <c r="FY338" s="108"/>
      <c r="FZ338" s="108"/>
      <c r="GA338" s="108"/>
      <c r="GB338" s="108"/>
      <c r="GC338" s="108"/>
      <c r="GD338" s="108"/>
      <c r="GE338" s="108"/>
      <c r="GF338" s="108"/>
      <c r="GG338" s="108"/>
      <c r="GH338" s="108"/>
      <c r="GI338" s="108"/>
      <c r="GJ338" s="108"/>
      <c r="GK338" s="108"/>
      <c r="GL338" s="108"/>
      <c r="GM338" s="108"/>
      <c r="GN338" s="108"/>
      <c r="GO338" s="108"/>
      <c r="GP338" s="108"/>
      <c r="GQ338" s="108"/>
      <c r="GR338" s="108"/>
      <c r="GS338" s="108"/>
      <c r="GT338" s="108"/>
      <c r="GU338" s="108"/>
      <c r="GV338" s="108"/>
      <c r="GW338" s="108"/>
      <c r="GX338" s="108"/>
      <c r="GY338" s="108"/>
      <c r="GZ338" s="108"/>
      <c r="HA338" s="108"/>
      <c r="HB338" s="108"/>
      <c r="HC338" s="108"/>
      <c r="HD338" s="108"/>
      <c r="HE338" s="108"/>
      <c r="HF338" s="108"/>
      <c r="HG338" s="108"/>
      <c r="HH338" s="108"/>
      <c r="HI338" s="108"/>
      <c r="HJ338" s="108"/>
      <c r="HK338" s="108"/>
      <c r="HL338" s="108"/>
      <c r="HM338" s="108"/>
      <c r="HN338" s="108"/>
      <c r="HO338" s="108"/>
      <c r="HP338" s="108"/>
      <c r="HQ338" s="108"/>
      <c r="HR338" s="108"/>
      <c r="HS338" s="108"/>
      <c r="HT338" s="108"/>
      <c r="HU338" s="108"/>
      <c r="HV338" s="108"/>
      <c r="HW338" s="108"/>
      <c r="HX338" s="108"/>
      <c r="HY338" s="108"/>
      <c r="HZ338" s="108"/>
      <c r="IA338" s="108"/>
      <c r="IB338" s="108"/>
      <c r="IC338" s="108"/>
      <c r="ID338" s="108"/>
      <c r="IE338" s="108"/>
      <c r="IF338" s="108"/>
      <c r="IG338" s="108"/>
      <c r="IH338" s="108"/>
      <c r="II338" s="108"/>
      <c r="IJ338" s="108"/>
      <c r="IK338" s="108"/>
      <c r="IL338" s="108"/>
      <c r="IM338" s="108"/>
      <c r="IN338" s="108"/>
      <c r="IO338" s="108"/>
      <c r="IP338" s="108"/>
      <c r="IQ338" s="108"/>
      <c r="IR338" s="108"/>
      <c r="IS338" s="108"/>
      <c r="IT338" s="108"/>
      <c r="IU338" s="108"/>
      <c r="IV338" s="108"/>
    </row>
    <row r="339" spans="1:2" ht="12.75">
      <c r="A339" s="46" t="s">
        <v>335</v>
      </c>
      <c r="B339" s="46">
        <f>O3*S5</f>
        <v>10</v>
      </c>
    </row>
    <row r="340" spans="1:256" ht="12.75">
      <c r="A340" t="s">
        <v>337</v>
      </c>
      <c r="B340" s="5">
        <f>B332+B193</f>
        <v>0.9973807078480315</v>
      </c>
      <c r="C340" s="5">
        <f>C332+C193</f>
        <v>-3.6623914479470523</v>
      </c>
      <c r="D340" s="5">
        <f>D332+D193</f>
        <v>-6.353903876366036</v>
      </c>
      <c r="E340" s="5">
        <f>E332+E193</f>
        <v>-3.8421674376850588</v>
      </c>
      <c r="F340" s="5">
        <f>F332+F193</f>
        <v>-2.132513656451458</v>
      </c>
      <c r="G340" s="5">
        <f>G332+G193</f>
        <v>-2.5890421135506614</v>
      </c>
      <c r="H340" s="5">
        <f>H332+H193</f>
        <v>0.3056585362872186</v>
      </c>
      <c r="I340" s="5">
        <f>I332+I193</f>
        <v>2.818956032606903</v>
      </c>
      <c r="J340" s="5">
        <f>J332+J193</f>
        <v>1.2334371447821337</v>
      </c>
      <c r="K340" s="5">
        <f>K332+K193</f>
        <v>1.1838220688822174</v>
      </c>
      <c r="L340" s="5">
        <f>L332+L193</f>
        <v>2.253605185552079</v>
      </c>
      <c r="M340" s="5">
        <f>M332+M193</f>
        <v>-0.8133661235583174</v>
      </c>
      <c r="N340" s="5">
        <f>N332+N193</f>
        <v>-2.840543939377413</v>
      </c>
      <c r="O340" s="5">
        <f>O332+O193</f>
        <v>0.03154353720275482</v>
      </c>
      <c r="P340" s="5">
        <f>P332+P193</f>
        <v>1.4421077668975384</v>
      </c>
      <c r="Q340" s="5">
        <f>Q332+Q193</f>
        <v>1.433266925795448</v>
      </c>
      <c r="R340" s="5">
        <f>R332+R193</f>
        <v>3.9297610045110822</v>
      </c>
      <c r="S340" s="5">
        <f>S332+S193</f>
        <v>4.830569356657138</v>
      </c>
      <c r="T340" s="5">
        <f>T332+T193</f>
        <v>1.7976779474586717</v>
      </c>
      <c r="U340" s="5">
        <f>U332+U193</f>
        <v>-1.2414293284599518</v>
      </c>
      <c r="V340" s="5">
        <f>V332+V193</f>
        <v>-0.6105465392923699</v>
      </c>
      <c r="W340" s="5">
        <f>W332+W193</f>
        <v>0.9670011661964442</v>
      </c>
      <c r="X340" s="5">
        <f>X332+X193</f>
        <v>-0.3640612676646029</v>
      </c>
      <c r="Y340" s="5">
        <f>Y332+Y193</f>
        <v>-1.8963556490672946</v>
      </c>
      <c r="Z340" s="5">
        <f>Z332+Z193</f>
        <v>-3.839685778979728</v>
      </c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08"/>
      <c r="CY340" s="108"/>
      <c r="CZ340" s="108"/>
      <c r="DA340" s="108"/>
      <c r="DB340" s="108"/>
      <c r="DC340" s="108"/>
      <c r="DD340" s="108"/>
      <c r="DE340" s="108"/>
      <c r="DF340" s="108"/>
      <c r="DG340" s="108"/>
      <c r="DH340" s="108"/>
      <c r="DI340" s="108"/>
      <c r="DJ340" s="108"/>
      <c r="DK340" s="108"/>
      <c r="DL340" s="108"/>
      <c r="DM340" s="108"/>
      <c r="DN340" s="108"/>
      <c r="DO340" s="108"/>
      <c r="DP340" s="108"/>
      <c r="DQ340" s="108"/>
      <c r="DR340" s="108"/>
      <c r="DS340" s="108"/>
      <c r="DT340" s="108"/>
      <c r="DU340" s="108"/>
      <c r="DV340" s="108"/>
      <c r="DW340" s="108"/>
      <c r="DX340" s="108"/>
      <c r="DY340" s="108"/>
      <c r="DZ340" s="108"/>
      <c r="EA340" s="108"/>
      <c r="EB340" s="108"/>
      <c r="EC340" s="108"/>
      <c r="ED340" s="108"/>
      <c r="EE340" s="108"/>
      <c r="EF340" s="108"/>
      <c r="EG340" s="108"/>
      <c r="EH340" s="108"/>
      <c r="EI340" s="108"/>
      <c r="EJ340" s="108"/>
      <c r="EK340" s="108"/>
      <c r="EL340" s="108"/>
      <c r="EM340" s="108"/>
      <c r="EN340" s="108"/>
      <c r="EO340" s="108"/>
      <c r="EP340" s="108"/>
      <c r="EQ340" s="108"/>
      <c r="ER340" s="108"/>
      <c r="ES340" s="108"/>
      <c r="ET340" s="108"/>
      <c r="EU340" s="108"/>
      <c r="EV340" s="108"/>
      <c r="EW340" s="108"/>
      <c r="EX340" s="108"/>
      <c r="EY340" s="108"/>
      <c r="EZ340" s="108"/>
      <c r="FA340" s="108"/>
      <c r="FB340" s="108"/>
      <c r="FC340" s="108"/>
      <c r="FD340" s="108"/>
      <c r="FE340" s="108"/>
      <c r="FF340" s="108"/>
      <c r="FG340" s="108"/>
      <c r="FH340" s="108"/>
      <c r="FI340" s="108"/>
      <c r="FJ340" s="108"/>
      <c r="FK340" s="108"/>
      <c r="FL340" s="108"/>
      <c r="FM340" s="108"/>
      <c r="FN340" s="108"/>
      <c r="FO340" s="108"/>
      <c r="FP340" s="108"/>
      <c r="FQ340" s="108"/>
      <c r="FR340" s="108"/>
      <c r="FS340" s="108"/>
      <c r="FT340" s="108"/>
      <c r="FU340" s="108"/>
      <c r="FV340" s="108"/>
      <c r="FW340" s="108"/>
      <c r="FX340" s="108"/>
      <c r="FY340" s="108"/>
      <c r="FZ340" s="108"/>
      <c r="GA340" s="108"/>
      <c r="GB340" s="108"/>
      <c r="GC340" s="108"/>
      <c r="GD340" s="108"/>
      <c r="GE340" s="108"/>
      <c r="GF340" s="108"/>
      <c r="GG340" s="108"/>
      <c r="GH340" s="108"/>
      <c r="GI340" s="108"/>
      <c r="GJ340" s="108"/>
      <c r="GK340" s="108"/>
      <c r="GL340" s="108"/>
      <c r="GM340" s="108"/>
      <c r="GN340" s="108"/>
      <c r="GO340" s="108"/>
      <c r="GP340" s="108"/>
      <c r="GQ340" s="108"/>
      <c r="GR340" s="108"/>
      <c r="GS340" s="108"/>
      <c r="GT340" s="108"/>
      <c r="GU340" s="108"/>
      <c r="GV340" s="108"/>
      <c r="GW340" s="108"/>
      <c r="GX340" s="108"/>
      <c r="GY340" s="108"/>
      <c r="GZ340" s="108"/>
      <c r="HA340" s="108"/>
      <c r="HB340" s="108"/>
      <c r="HC340" s="108"/>
      <c r="HD340" s="108"/>
      <c r="HE340" s="108"/>
      <c r="HF340" s="108"/>
      <c r="HG340" s="108"/>
      <c r="HH340" s="108"/>
      <c r="HI340" s="108"/>
      <c r="HJ340" s="108"/>
      <c r="HK340" s="108"/>
      <c r="HL340" s="108"/>
      <c r="HM340" s="108"/>
      <c r="HN340" s="108"/>
      <c r="HO340" s="108"/>
      <c r="HP340" s="108"/>
      <c r="HQ340" s="108"/>
      <c r="HR340" s="108"/>
      <c r="HS340" s="108"/>
      <c r="HT340" s="108"/>
      <c r="HU340" s="108"/>
      <c r="HV340" s="108"/>
      <c r="HW340" s="108"/>
      <c r="HX340" s="108"/>
      <c r="HY340" s="108"/>
      <c r="HZ340" s="108"/>
      <c r="IA340" s="108"/>
      <c r="IB340" s="108"/>
      <c r="IC340" s="108"/>
      <c r="ID340" s="108"/>
      <c r="IE340" s="108"/>
      <c r="IF340" s="108"/>
      <c r="IG340" s="108"/>
      <c r="IH340" s="108"/>
      <c r="II340" s="108"/>
      <c r="IJ340" s="108"/>
      <c r="IK340" s="108"/>
      <c r="IL340" s="108"/>
      <c r="IM340" s="108"/>
      <c r="IN340" s="108"/>
      <c r="IO340" s="108"/>
      <c r="IP340" s="108"/>
      <c r="IQ340" s="108"/>
      <c r="IR340" s="108"/>
      <c r="IS340" s="108"/>
      <c r="IT340" s="108"/>
      <c r="IU340" s="108"/>
      <c r="IV340" s="108"/>
    </row>
    <row r="341" spans="1:256" ht="12.75">
      <c r="A341" t="s">
        <v>338</v>
      </c>
      <c r="B341" s="6">
        <f>B333+B194+$B$339</f>
        <v>24.177614971123944</v>
      </c>
      <c r="C341" s="6">
        <f>C333+C194+$B$339</f>
        <v>18.246517801547654</v>
      </c>
      <c r="D341" s="6">
        <f>D333+D194+$B$339</f>
        <v>53.37547071657031</v>
      </c>
      <c r="E341" s="6">
        <f>E333+E194+$B$339</f>
        <v>36.7029063601955</v>
      </c>
      <c r="F341" s="6">
        <f>F333+F194+$B$339</f>
        <v>35.37088934711055</v>
      </c>
      <c r="G341" s="6">
        <f>G333+G194+$B$339</f>
        <v>43.41695394686056</v>
      </c>
      <c r="H341" s="6">
        <f>H333+H194+$B$339</f>
        <v>22.267208169392084</v>
      </c>
      <c r="I341" s="6">
        <f>I333+I194+$B$339</f>
        <v>25.90399909619271</v>
      </c>
      <c r="J341" s="6">
        <f>J333+J194+$B$339</f>
        <v>26.785875596745992</v>
      </c>
      <c r="K341" s="6">
        <f>K333+K194+$B$339</f>
        <v>27.570190555199954</v>
      </c>
      <c r="L341" s="6">
        <f>L333+L194+$B$339</f>
        <v>28.10927275734796</v>
      </c>
      <c r="M341" s="6">
        <f>M333+M194+$B$339</f>
        <v>28.37755741144322</v>
      </c>
      <c r="N341" s="6">
        <f>N333+N194+$B$339</f>
        <v>28.811094987557432</v>
      </c>
      <c r="O341" s="6">
        <f>O333+O194+$B$339</f>
        <v>29.55956879344165</v>
      </c>
      <c r="P341" s="6">
        <f>P333+P194+$B$339</f>
        <v>30.207774948267463</v>
      </c>
      <c r="Q341" s="6">
        <f>Q333+Q194+$B$339</f>
        <v>30.376043083936732</v>
      </c>
      <c r="R341" s="6">
        <f>R333+R194+$B$339</f>
        <v>30.161307134587986</v>
      </c>
      <c r="S341" s="6">
        <f>S333+S194+$B$339</f>
        <v>29.945821867731055</v>
      </c>
      <c r="T341" s="6">
        <f>T333+T194+$B$339</f>
        <v>29.94091448087527</v>
      </c>
      <c r="U341" s="6">
        <f>U333+U194+$B$339</f>
        <v>29.985474009252925</v>
      </c>
      <c r="V341" s="6">
        <f>V333+V194+$B$339</f>
        <v>29.8419395968163</v>
      </c>
      <c r="W341" s="6">
        <f>W333+W194+$B$339</f>
        <v>29.42076098384813</v>
      </c>
      <c r="X341" s="6">
        <f>X333+X194+$B$339</f>
        <v>28.472412690828797</v>
      </c>
      <c r="Y341" s="6">
        <f>Y333+Y194+$B$339</f>
        <v>26.57098480291299</v>
      </c>
      <c r="Z341" s="6">
        <f>Z333+Z194+$B$339</f>
        <v>24.020955843481254</v>
      </c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  <c r="BH341" s="110"/>
      <c r="BI341" s="110"/>
      <c r="BJ341" s="110"/>
      <c r="BK341" s="110"/>
      <c r="BL341" s="110"/>
      <c r="BM341" s="110"/>
      <c r="BN341" s="110"/>
      <c r="BO341" s="110"/>
      <c r="BP341" s="110"/>
      <c r="BQ341" s="110"/>
      <c r="BR341" s="110"/>
      <c r="BS341" s="110"/>
      <c r="BT341" s="110"/>
      <c r="BU341" s="110"/>
      <c r="BV341" s="110"/>
      <c r="BW341" s="110"/>
      <c r="BX341" s="110"/>
      <c r="BY341" s="110"/>
      <c r="BZ341" s="110"/>
      <c r="CA341" s="110"/>
      <c r="CB341" s="110"/>
      <c r="CC341" s="110"/>
      <c r="CD341" s="110"/>
      <c r="CE341" s="110"/>
      <c r="CF341" s="110"/>
      <c r="CG341" s="110"/>
      <c r="CH341" s="110"/>
      <c r="CI341" s="110"/>
      <c r="CJ341" s="110"/>
      <c r="CK341" s="110"/>
      <c r="CL341" s="110"/>
      <c r="CM341" s="110"/>
      <c r="CN341" s="110"/>
      <c r="CO341" s="110"/>
      <c r="CP341" s="110"/>
      <c r="CQ341" s="110"/>
      <c r="CR341" s="110"/>
      <c r="CS341" s="110"/>
      <c r="CT341" s="110"/>
      <c r="CU341" s="110"/>
      <c r="CV341" s="110"/>
      <c r="CW341" s="110"/>
      <c r="CX341" s="110"/>
      <c r="CY341" s="110"/>
      <c r="CZ341" s="110"/>
      <c r="DA341" s="110"/>
      <c r="DB341" s="110"/>
      <c r="DC341" s="110"/>
      <c r="DD341" s="110"/>
      <c r="DE341" s="110"/>
      <c r="DF341" s="110"/>
      <c r="DG341" s="110"/>
      <c r="DH341" s="110"/>
      <c r="DI341" s="110"/>
      <c r="DJ341" s="110"/>
      <c r="DK341" s="110"/>
      <c r="DL341" s="110"/>
      <c r="DM341" s="110"/>
      <c r="DN341" s="110"/>
      <c r="DO341" s="110"/>
      <c r="DP341" s="110"/>
      <c r="DQ341" s="110"/>
      <c r="DR341" s="110"/>
      <c r="DS341" s="110"/>
      <c r="DT341" s="110"/>
      <c r="DU341" s="110"/>
      <c r="DV341" s="110"/>
      <c r="DW341" s="110"/>
      <c r="DX341" s="110"/>
      <c r="DY341" s="110"/>
      <c r="DZ341" s="110"/>
      <c r="EA341" s="110"/>
      <c r="EB341" s="110"/>
      <c r="EC341" s="110"/>
      <c r="ED341" s="110"/>
      <c r="EE341" s="110"/>
      <c r="EF341" s="110"/>
      <c r="EG341" s="110"/>
      <c r="EH341" s="110"/>
      <c r="EI341" s="110"/>
      <c r="EJ341" s="110"/>
      <c r="EK341" s="110"/>
      <c r="EL341" s="110"/>
      <c r="EM341" s="110"/>
      <c r="EN341" s="110"/>
      <c r="EO341" s="110"/>
      <c r="EP341" s="110"/>
      <c r="EQ341" s="110"/>
      <c r="ER341" s="110"/>
      <c r="ES341" s="110"/>
      <c r="ET341" s="110"/>
      <c r="EU341" s="110"/>
      <c r="EV341" s="110"/>
      <c r="EW341" s="110"/>
      <c r="EX341" s="110"/>
      <c r="EY341" s="110"/>
      <c r="EZ341" s="110"/>
      <c r="FA341" s="110"/>
      <c r="FB341" s="110"/>
      <c r="FC341" s="110"/>
      <c r="FD341" s="110"/>
      <c r="FE341" s="110"/>
      <c r="FF341" s="110"/>
      <c r="FG341" s="110"/>
      <c r="FH341" s="110"/>
      <c r="FI341" s="110"/>
      <c r="FJ341" s="110"/>
      <c r="FK341" s="110"/>
      <c r="FL341" s="110"/>
      <c r="FM341" s="110"/>
      <c r="FN341" s="110"/>
      <c r="FO341" s="110"/>
      <c r="FP341" s="110"/>
      <c r="FQ341" s="110"/>
      <c r="FR341" s="110"/>
      <c r="FS341" s="110"/>
      <c r="FT341" s="110"/>
      <c r="FU341" s="110"/>
      <c r="FV341" s="110"/>
      <c r="FW341" s="110"/>
      <c r="FX341" s="110"/>
      <c r="FY341" s="110"/>
      <c r="FZ341" s="110"/>
      <c r="GA341" s="110"/>
      <c r="GB341" s="110"/>
      <c r="GC341" s="110"/>
      <c r="GD341" s="110"/>
      <c r="GE341" s="110"/>
      <c r="GF341" s="110"/>
      <c r="GG341" s="110"/>
      <c r="GH341" s="110"/>
      <c r="GI341" s="110"/>
      <c r="GJ341" s="110"/>
      <c r="GK341" s="110"/>
      <c r="GL341" s="110"/>
      <c r="GM341" s="110"/>
      <c r="GN341" s="110"/>
      <c r="GO341" s="110"/>
      <c r="GP341" s="110"/>
      <c r="GQ341" s="110"/>
      <c r="GR341" s="110"/>
      <c r="GS341" s="110"/>
      <c r="GT341" s="110"/>
      <c r="GU341" s="110"/>
      <c r="GV341" s="110"/>
      <c r="GW341" s="110"/>
      <c r="GX341" s="110"/>
      <c r="GY341" s="110"/>
      <c r="GZ341" s="110"/>
      <c r="HA341" s="110"/>
      <c r="HB341" s="110"/>
      <c r="HC341" s="110"/>
      <c r="HD341" s="110"/>
      <c r="HE341" s="110"/>
      <c r="HF341" s="110"/>
      <c r="HG341" s="110"/>
      <c r="HH341" s="110"/>
      <c r="HI341" s="110"/>
      <c r="HJ341" s="110"/>
      <c r="HK341" s="110"/>
      <c r="HL341" s="110"/>
      <c r="HM341" s="110"/>
      <c r="HN341" s="110"/>
      <c r="HO341" s="110"/>
      <c r="HP341" s="110"/>
      <c r="HQ341" s="110"/>
      <c r="HR341" s="110"/>
      <c r="HS341" s="110"/>
      <c r="HT341" s="110"/>
      <c r="HU341" s="110"/>
      <c r="HV341" s="110"/>
      <c r="HW341" s="110"/>
      <c r="HX341" s="110"/>
      <c r="HY341" s="110"/>
      <c r="HZ341" s="110"/>
      <c r="IA341" s="110"/>
      <c r="IB341" s="110"/>
      <c r="IC341" s="110"/>
      <c r="ID341" s="110"/>
      <c r="IE341" s="110"/>
      <c r="IF341" s="110"/>
      <c r="IG341" s="110"/>
      <c r="IH341" s="110"/>
      <c r="II341" s="110"/>
      <c r="IJ341" s="110"/>
      <c r="IK341" s="110"/>
      <c r="IL341" s="110"/>
      <c r="IM341" s="110"/>
      <c r="IN341" s="110"/>
      <c r="IO341" s="110"/>
      <c r="IP341" s="110"/>
      <c r="IQ341" s="110"/>
      <c r="IR341" s="110"/>
      <c r="IS341" s="110"/>
      <c r="IT341" s="110"/>
      <c r="IU341" s="110"/>
      <c r="IV341" s="110"/>
    </row>
    <row r="342" spans="1:256" ht="12.75">
      <c r="A342" s="74" t="s">
        <v>275</v>
      </c>
      <c r="B342" s="75">
        <f>B338+B195-B332*B25+B333*B24-B193*B133+(B194+$B$339)*B132</f>
        <v>12.156504774087914</v>
      </c>
      <c r="C342" s="75">
        <f>C338+C195-C332*C25+C333*C24-C193*C133+(C194+$B$339)*C132</f>
        <v>-12.08049062563127</v>
      </c>
      <c r="D342" s="75">
        <f>D338+D195-D332*D25+D333*D24-D193*D133+(D194+$B$339)*D132</f>
        <v>-12.402791039072566</v>
      </c>
      <c r="E342" s="75">
        <f>E338+E195-E332*E25+E333*E24-E193*E133+(E194+$B$339)*E132</f>
        <v>1.4516080232429545</v>
      </c>
      <c r="F342" s="75">
        <f>F338+F195-F332*F25+F333*F24-F193*F133+(F194+$B$339)*F132</f>
        <v>4.606270977757518</v>
      </c>
      <c r="G342" s="75">
        <f>G338+G195-G332*G25+G333*G24-G193*G133+(G194+$B$339)*G132</f>
        <v>6.3688555585644995</v>
      </c>
      <c r="H342" s="75">
        <f>H338+H195-H332*H25+H333*H24-H193*H133+(H194+$B$339)*H132</f>
        <v>-1.999930183526362</v>
      </c>
      <c r="I342" s="75">
        <f>I338+I195-I332*I25+I333*I24-I193*I133+(I194+$B$339)*I132</f>
        <v>-12.447649830454232</v>
      </c>
      <c r="J342" s="75">
        <f>J338+J195-J332*J25+J333*J24-J193*J133+(J194+$B$339)*J132</f>
        <v>-9.945882426945143</v>
      </c>
      <c r="K342" s="75">
        <f>K338+K195-K332*K25+K333*K24-K193*K133+(K194+$B$339)*K132</f>
        <v>-12.54390846718631</v>
      </c>
      <c r="L342" s="75">
        <f>L338+L195-L332*L25+L333*L24-L193*L133+(L194+$B$339)*L132</f>
        <v>-18.129826995779794</v>
      </c>
      <c r="M342" s="75">
        <f>M338+M195-M332*M25+M333*M24-M193*M133+(M194+$B$339)*M132</f>
        <v>-10.559408887003801</v>
      </c>
      <c r="N342" s="75">
        <f>N338+N195-N332*N25+N333*N24-N193*N133+(N194+$B$339)*N132</f>
        <v>-7.030606509184647</v>
      </c>
      <c r="O342" s="75">
        <f>O338+O195-O332*O25+O333*O24-O193*O133+(O194+$B$339)*O132</f>
        <v>-14.370727122841561</v>
      </c>
      <c r="P342" s="75">
        <f>P338+P195-P332*P25+P333*P24-P193*P133+(P194+$B$339)*P132</f>
        <v>-15.75639870365974</v>
      </c>
      <c r="Q342" s="75">
        <f>Q338+Q195-Q332*Q25+Q333*Q24-Q193*Q133+(Q194+$B$339)*Q132</f>
        <v>-12.54584562729354</v>
      </c>
      <c r="R342" s="75">
        <f>R338+R195-R332*R25+R333*R24-R193*R133+(R194+$B$339)*R132</f>
        <v>-9.929529090855619</v>
      </c>
      <c r="S342" s="75">
        <f>S338+S195-S332*S25+S333*S24-S193*S133+(S194+$B$339)*S132</f>
        <v>-3.77263619907602</v>
      </c>
      <c r="T342" s="75">
        <f>T338+T195-T332*T25+T333*T24-T193*T133+(T194+$B$339)*T132</f>
        <v>3.7649256801781554</v>
      </c>
      <c r="U342" s="75">
        <f>U338+U195-U332*U25+U333*U24-U193*U133+(U194+$B$339)*U132</f>
        <v>9.048010342531187</v>
      </c>
      <c r="V342" s="75">
        <f>V338+V195-V332*V25+V333*V24-V193*V133+(V194+$B$339)*V132</f>
        <v>15.465285068983594</v>
      </c>
      <c r="W342" s="75">
        <f>W338+W195-W332*W25+W333*W24-W193*W133+(W194+$B$339)*W132</f>
        <v>23.3341079698151</v>
      </c>
      <c r="X342" s="75">
        <f>X338+X195-X332*X25+X333*X24-X193*X133+(X194+$B$339)*X132</f>
        <v>17.33391718763466</v>
      </c>
      <c r="Y342" s="75">
        <f>Y338+Y195-Y332*Y25+Y333*Y24-Y193*Y133+(Y194+$B$339)*Y132</f>
        <v>-0.6736989192801346</v>
      </c>
      <c r="Z342" s="75">
        <f>Z338+Z195-Z332*Z25+Z333*Z24-Z193*Z133+(Z194+$B$339)*Z132</f>
        <v>-18.778838977611322</v>
      </c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08"/>
      <c r="CY342" s="108"/>
      <c r="CZ342" s="108"/>
      <c r="DA342" s="108"/>
      <c r="DB342" s="108"/>
      <c r="DC342" s="108"/>
      <c r="DD342" s="108"/>
      <c r="DE342" s="108"/>
      <c r="DF342" s="108"/>
      <c r="DG342" s="108"/>
      <c r="DH342" s="108"/>
      <c r="DI342" s="108"/>
      <c r="DJ342" s="108"/>
      <c r="DK342" s="108"/>
      <c r="DL342" s="108"/>
      <c r="DM342" s="108"/>
      <c r="DN342" s="108"/>
      <c r="DO342" s="108"/>
      <c r="DP342" s="108"/>
      <c r="DQ342" s="108"/>
      <c r="DR342" s="108"/>
      <c r="DS342" s="108"/>
      <c r="DT342" s="108"/>
      <c r="DU342" s="108"/>
      <c r="DV342" s="108"/>
      <c r="DW342" s="108"/>
      <c r="DX342" s="108"/>
      <c r="DY342" s="108"/>
      <c r="DZ342" s="108"/>
      <c r="EA342" s="108"/>
      <c r="EB342" s="108"/>
      <c r="EC342" s="108"/>
      <c r="ED342" s="108"/>
      <c r="EE342" s="108"/>
      <c r="EF342" s="108"/>
      <c r="EG342" s="108"/>
      <c r="EH342" s="108"/>
      <c r="EI342" s="108"/>
      <c r="EJ342" s="108"/>
      <c r="EK342" s="108"/>
      <c r="EL342" s="108"/>
      <c r="EM342" s="108"/>
      <c r="EN342" s="108"/>
      <c r="EO342" s="108"/>
      <c r="EP342" s="108"/>
      <c r="EQ342" s="108"/>
      <c r="ER342" s="108"/>
      <c r="ES342" s="108"/>
      <c r="ET342" s="108"/>
      <c r="EU342" s="108"/>
      <c r="EV342" s="108"/>
      <c r="EW342" s="108"/>
      <c r="EX342" s="108"/>
      <c r="EY342" s="108"/>
      <c r="EZ342" s="108"/>
      <c r="FA342" s="108"/>
      <c r="FB342" s="108"/>
      <c r="FC342" s="108"/>
      <c r="FD342" s="108"/>
      <c r="FE342" s="108"/>
      <c r="FF342" s="108"/>
      <c r="FG342" s="108"/>
      <c r="FH342" s="108"/>
      <c r="FI342" s="108"/>
      <c r="FJ342" s="108"/>
      <c r="FK342" s="108"/>
      <c r="FL342" s="108"/>
      <c r="FM342" s="108"/>
      <c r="FN342" s="108"/>
      <c r="FO342" s="108"/>
      <c r="FP342" s="108"/>
      <c r="FQ342" s="108"/>
      <c r="FR342" s="108"/>
      <c r="FS342" s="108"/>
      <c r="FT342" s="108"/>
      <c r="FU342" s="108"/>
      <c r="FV342" s="108"/>
      <c r="FW342" s="108"/>
      <c r="FX342" s="108"/>
      <c r="FY342" s="108"/>
      <c r="FZ342" s="108"/>
      <c r="GA342" s="108"/>
      <c r="GB342" s="108"/>
      <c r="GC342" s="108"/>
      <c r="GD342" s="108"/>
      <c r="GE342" s="108"/>
      <c r="GF342" s="108"/>
      <c r="GG342" s="108"/>
      <c r="GH342" s="108"/>
      <c r="GI342" s="108"/>
      <c r="GJ342" s="108"/>
      <c r="GK342" s="108"/>
      <c r="GL342" s="108"/>
      <c r="GM342" s="108"/>
      <c r="GN342" s="108"/>
      <c r="GO342" s="108"/>
      <c r="GP342" s="108"/>
      <c r="GQ342" s="108"/>
      <c r="GR342" s="108"/>
      <c r="GS342" s="108"/>
      <c r="GT342" s="108"/>
      <c r="GU342" s="108"/>
      <c r="GV342" s="108"/>
      <c r="GW342" s="108"/>
      <c r="GX342" s="108"/>
      <c r="GY342" s="108"/>
      <c r="GZ342" s="108"/>
      <c r="HA342" s="108"/>
      <c r="HB342" s="108"/>
      <c r="HC342" s="108"/>
      <c r="HD342" s="108"/>
      <c r="HE342" s="108"/>
      <c r="HF342" s="108"/>
      <c r="HG342" s="108"/>
      <c r="HH342" s="108"/>
      <c r="HI342" s="108"/>
      <c r="HJ342" s="108"/>
      <c r="HK342" s="108"/>
      <c r="HL342" s="108"/>
      <c r="HM342" s="108"/>
      <c r="HN342" s="108"/>
      <c r="HO342" s="108"/>
      <c r="HP342" s="108"/>
      <c r="HQ342" s="108"/>
      <c r="HR342" s="108"/>
      <c r="HS342" s="108"/>
      <c r="HT342" s="108"/>
      <c r="HU342" s="108"/>
      <c r="HV342" s="108"/>
      <c r="HW342" s="108"/>
      <c r="HX342" s="108"/>
      <c r="HY342" s="108"/>
      <c r="HZ342" s="108"/>
      <c r="IA342" s="108"/>
      <c r="IB342" s="108"/>
      <c r="IC342" s="108"/>
      <c r="ID342" s="108"/>
      <c r="IE342" s="108"/>
      <c r="IF342" s="108"/>
      <c r="IG342" s="108"/>
      <c r="IH342" s="108"/>
      <c r="II342" s="108"/>
      <c r="IJ342" s="108"/>
      <c r="IK342" s="108"/>
      <c r="IL342" s="108"/>
      <c r="IM342" s="108"/>
      <c r="IN342" s="108"/>
      <c r="IO342" s="108"/>
      <c r="IP342" s="108"/>
      <c r="IQ342" s="108"/>
      <c r="IR342" s="108"/>
      <c r="IS342" s="108"/>
      <c r="IT342" s="108"/>
      <c r="IU342" s="108"/>
      <c r="IV342" s="108"/>
    </row>
    <row r="343" spans="1:26" s="108" customFormat="1" ht="12.75">
      <c r="A343" s="5" t="s">
        <v>339</v>
      </c>
      <c r="B343" s="5">
        <f>B342*B20-(B228+B229+B236+B237+B212+B213+B220+B221+B244+B245+B252+B253+B204+B205+B196+B197)-B266-B267</f>
        <v>0</v>
      </c>
      <c r="C343" s="5">
        <f>C342*C20-(C228+C229+C236+C237+C212+C213+C220+C221+C244+C245+C252+C253+C204+C205+C196+C197)-C266-C267</f>
        <v>0</v>
      </c>
      <c r="D343" s="5">
        <f>D342*D20-(D228+D229+D236+D237+D212+D213+D220+D221+D244+D245+D252+D253+D204+D205+D196+D197)-D266-D267</f>
        <v>-3.552713678800501E-14</v>
      </c>
      <c r="E343" s="5">
        <f>E342*E20-(E228+E229+E236+E237+E212+E213+E220+E221+E244+E245+E252+E253+E204+E205+E196+E197)-E266-E267</f>
        <v>6.217248937900877E-15</v>
      </c>
      <c r="F343" s="5">
        <f>F342*F20-(F228+F229+F236+F237+F212+F213+F220+F221+F244+F245+F252+F253+F204+F205+F196+F197)-F266-F267</f>
        <v>0</v>
      </c>
      <c r="G343" s="5">
        <f>G342*G20-(G228+G229+G236+G237+G212+G213+G220+G221+G244+G245+G252+G253+G204+G205+G196+G197)-G266-G267</f>
        <v>2.7755575615628914E-15</v>
      </c>
      <c r="H343" s="5">
        <f>H342*H20-(H228+H229+H236+H237+H212+H213+H220+H221+H244+H245+H252+H253+H204+H205+H196+H197)-H266-H267</f>
        <v>0</v>
      </c>
      <c r="I343" s="5">
        <f>I342*I20-(I228+I229+I236+I237+I212+I213+I220+I221+I244+I245+I252+I253+I204+I205+I196+I197)-I266-I267</f>
        <v>0</v>
      </c>
      <c r="J343" s="5">
        <f>J342*J20-(J228+J229+J236+J237+J212+J213+J220+J221+J244+J245+J252+J253+J204+J205+J196+J197)-J266-J267</f>
        <v>0</v>
      </c>
      <c r="K343" s="5">
        <f>K342*K20-(K228+K229+K236+K237+K212+K213+K220+K221+K244+K245+K252+K253+K204+K205+K196+K197)-K266-K267</f>
        <v>0</v>
      </c>
      <c r="L343" s="5">
        <f>L342*L20-(L228+L229+L236+L237+L212+L213+L220+L221+L244+L245+L252+L253+L204+L205+L196+L197)-L266-L267</f>
        <v>1.1546319456101628E-14</v>
      </c>
      <c r="M343" s="5">
        <f>M342*M20-(M228+M229+M236+M237+M212+M213+M220+M221+M244+M245+M252+M253+M204+M205+M196+M197)-M266-M267</f>
        <v>9.325873406851315E-15</v>
      </c>
      <c r="N343" s="5">
        <f>N342*N20-(N228+N229+N236+N237+N212+N213+N220+N221+N244+N245+N252+N253+N204+N205+N196+N197)-N266-N267</f>
        <v>0</v>
      </c>
      <c r="O343" s="5">
        <f>O342*O20-(O228+O229+O236+O237+O212+O213+O220+O221+O244+O245+O252+O253+O204+O205+O196+O197)-O266-O267</f>
        <v>-1.6431300764452317E-14</v>
      </c>
      <c r="P343" s="5">
        <f>P342*P20-(P228+P229+P236+P237+P212+P213+P220+P221+P244+P245+P252+P253+P204+P205+P196+P197)-P266-P267</f>
        <v>0</v>
      </c>
      <c r="Q343" s="5">
        <f>Q342*Q20-(Q228+Q229+Q236+Q237+Q212+Q213+Q220+Q221+Q244+Q245+Q252+Q253+Q204+Q205+Q196+Q197)-Q266-Q267</f>
        <v>1.1102230246251565E-14</v>
      </c>
      <c r="R343" s="5">
        <f>R342*R20-(R228+R229+R236+R237+R212+R213+R220+R221+R244+R245+R252+R253+R204+R205+R196+R197)-R266-R267</f>
        <v>3.552713678800501E-15</v>
      </c>
      <c r="S343" s="5">
        <f>S342*S20-(S228+S229+S236+S237+S212+S213+S220+S221+S244+S245+S252+S253+S204+S205+S196+S197)-S266-S267</f>
        <v>8.291978215169138E-15</v>
      </c>
      <c r="T343" s="5">
        <f>T342*T20-(T228+T229+T236+T237+T212+T213+T220+T221+T244+T245+T252+T253+T204+T205+T196+T197)-T266-T267</f>
        <v>7.438494264988549E-15</v>
      </c>
      <c r="U343" s="5">
        <f>U342*U20-(U228+U229+U236+U237+U212+U213+U220+U221+U244+U245+U252+U253+U204+U205+U196+U197)-U266-U267</f>
        <v>0</v>
      </c>
      <c r="V343" s="5">
        <f>V342*V20-(V228+V229+V236+V237+V212+V213+V220+V221+V244+V245+V252+V253+V204+V205+V196+V197)-V266-V267</f>
        <v>0</v>
      </c>
      <c r="W343" s="5">
        <f>W342*W20-(W228+W229+W236+W237+W212+W213+W220+W221+W244+W245+W252+W253+W204+W205+W196+W197)-W266-W267</f>
        <v>0</v>
      </c>
      <c r="X343" s="5">
        <f>X342*X20-(X228+X229+X236+X237+X212+X213+X220+X221+X244+X245+X252+X253+X204+X205+X196+X197)-X266-X267</f>
        <v>0</v>
      </c>
      <c r="Y343" s="5">
        <f>Y342*Y20-(Y228+Y229+Y236+Y237+Y212+Y213+Y220+Y221+Y244+Y245+Y252+Y253+Y204+Y205+Y196+Y197)-Y266-Y267</f>
        <v>0</v>
      </c>
      <c r="Z343" s="5">
        <f>Z342*Z20-(Z228+Z229+Z236+Z237+Z212+Z213+Z220+Z221+Z244+Z245+Z252+Z253+Z204+Z205+Z196+Z197)-Z266-Z267</f>
        <v>3.3995269168134398E-15</v>
      </c>
    </row>
    <row r="344" spans="1:256" ht="12.75">
      <c r="A344" t="s">
        <v>419</v>
      </c>
      <c r="B344" s="5">
        <f>(B228+B229+B236+B237+B212+B213+B220+B221+B244+B245+B252+B253+B204+B205+B196+B197)+B266+B267</f>
        <v>12.156504774087914</v>
      </c>
      <c r="C344" s="5">
        <f>(C228+C229+C236+C237+C212+C213+C220+C221+C244+C245+C252+C253+C204+C205+C196+C197)+C266+C267</f>
        <v>-12.080490625631267</v>
      </c>
      <c r="D344" s="5">
        <f>(D228+D229+D236+D237+D212+D213+D220+D221+D244+D245+D252+D253+D204+D205+D196+D197)+D266+D267</f>
        <v>-12.40279103907253</v>
      </c>
      <c r="E344" s="5">
        <f>(E228+E229+E236+E237+E212+E213+E220+E221+E244+E245+E252+E253+E204+E205+E196+E197)+E266+E267</f>
        <v>1.4516080232429482</v>
      </c>
      <c r="F344" s="5">
        <f>(F228+F229+F236+F237+F212+F213+F220+F221+F244+F245+F252+F253+F204+F205+F196+F197)+F266+F267</f>
        <v>4.606270977757519</v>
      </c>
      <c r="G344" s="5">
        <f>(G228+G229+G236+G237+G212+G213+G220+G221+G244+G245+G252+G253+G204+G205+G196+G197)+G266+G267</f>
        <v>6.368855558564497</v>
      </c>
      <c r="H344" s="5">
        <f>(H228+H229+H236+H237+H212+H213+H220+H221+H244+H245+H252+H253+H204+H205+H196+H197)+H266+H267</f>
        <v>-1.999930183526363</v>
      </c>
      <c r="I344" s="5">
        <f>(I228+I229+I236+I237+I212+I213+I220+I221+I244+I245+I252+I253+I204+I205+I196+I197)+I266+I267</f>
        <v>-12.44764983045423</v>
      </c>
      <c r="J344" s="5">
        <f>(J228+J229+J236+J237+J212+J213+J220+J221+J244+J245+J252+J253+J204+J205+J196+J197)+J266+J267</f>
        <v>-9.945882426945145</v>
      </c>
      <c r="K344" s="5">
        <f>(K228+K229+K236+K237+K212+K213+K220+K221+K244+K245+K252+K253+K204+K205+K196+K197)+K266+K267</f>
        <v>-12.543908467186306</v>
      </c>
      <c r="L344" s="5">
        <f>(L228+L229+L236+L237+L212+L213+L220+L221+L244+L245+L252+L253+L204+L205+L196+L197)+L266+L267</f>
        <v>-18.129826995779805</v>
      </c>
      <c r="M344" s="5">
        <f>(M228+M229+M236+M237+M212+M213+M220+M221+M244+M245+M252+M253+M204+M205+M196+M197)+M266+M267</f>
        <v>-10.55940888700381</v>
      </c>
      <c r="N344" s="5">
        <f>(N228+N229+N236+N237+N212+N213+N220+N221+N244+N245+N252+N253+N204+N205+N196+N197)+N266+N267</f>
        <v>-7.030606509184652</v>
      </c>
      <c r="O344" s="5">
        <f>(O228+O229+O236+O237+O212+O213+O220+O221+O244+O245+O252+O253+O204+O205+O196+O197)+O266+O267</f>
        <v>-14.370727122841545</v>
      </c>
      <c r="P344" s="5">
        <f>(P228+P229+P236+P237+P212+P213+P220+P221+P244+P245+P252+P253+P204+P205+P196+P197)+P266+P267</f>
        <v>-15.756398703659741</v>
      </c>
      <c r="Q344" s="5">
        <f>(Q228+Q229+Q236+Q237+Q212+Q213+Q220+Q221+Q244+Q245+Q252+Q253+Q204+Q205+Q196+Q197)+Q266+Q267</f>
        <v>-12.54584562729355</v>
      </c>
      <c r="R344" s="5">
        <f>(R228+R229+R236+R237+R212+R213+R220+R221+R244+R245+R252+R253+R204+R205+R196+R197)+R266+R267</f>
        <v>-9.929529090855622</v>
      </c>
      <c r="S344" s="5">
        <f>(S228+S229+S236+S237+S212+S213+S220+S221+S244+S245+S252+S253+S204+S205+S196+S197)+S266+S267</f>
        <v>-3.772636199076028</v>
      </c>
      <c r="T344" s="5">
        <f>(T228+T229+T236+T237+T212+T213+T220+T221+T244+T245+T252+T253+T204+T205+T196+T197)+T266+T267</f>
        <v>3.7649256801781483</v>
      </c>
      <c r="U344" s="5">
        <f>(U228+U229+U236+U237+U212+U213+U220+U221+U244+U245+U252+U253+U204+U205+U196+U197)+U266+U267</f>
        <v>9.048010342531192</v>
      </c>
      <c r="V344" s="5">
        <f>(V228+V229+V236+V237+V212+V213+V220+V221+V244+V245+V252+V253+V204+V205+V196+V197)+V266+V267</f>
        <v>15.4652850689836</v>
      </c>
      <c r="W344" s="5">
        <f>(W228+W229+W236+W237+W212+W213+W220+W221+W244+W245+W252+W253+W204+W205+W196+W197)+W266+W267</f>
        <v>23.334107969815097</v>
      </c>
      <c r="X344" s="5">
        <f>(X228+X229+X236+X237+X212+X213+X220+X221+X244+X245+X252+X253+X204+X205+X196+X197)+X266+X267</f>
        <v>17.333917187634672</v>
      </c>
      <c r="Y344" s="5">
        <f>(Y228+Y229+Y236+Y237+Y212+Y213+Y220+Y221+Y244+Y245+Y252+Y253+Y204+Y205+Y196+Y197)+Y266+Y267</f>
        <v>-0.6736989192801381</v>
      </c>
      <c r="Z344" s="5">
        <f>(Z228+Z229+Z236+Z237+Z212+Z213+Z220+Z221+Z244+Z245+Z252+Z253+Z204+Z205+Z196+Z197)+Z266+Z267</f>
        <v>-18.778838977611326</v>
      </c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  <c r="CW344" s="108"/>
      <c r="CX344" s="108"/>
      <c r="CY344" s="108"/>
      <c r="CZ344" s="108"/>
      <c r="DA344" s="108"/>
      <c r="DB344" s="108"/>
      <c r="DC344" s="108"/>
      <c r="DD344" s="108"/>
      <c r="DE344" s="108"/>
      <c r="DF344" s="108"/>
      <c r="DG344" s="108"/>
      <c r="DH344" s="108"/>
      <c r="DI344" s="108"/>
      <c r="DJ344" s="108"/>
      <c r="DK344" s="108"/>
      <c r="DL344" s="108"/>
      <c r="DM344" s="108"/>
      <c r="DN344" s="108"/>
      <c r="DO344" s="108"/>
      <c r="DP344" s="108"/>
      <c r="DQ344" s="108"/>
      <c r="DR344" s="108"/>
      <c r="DS344" s="108"/>
      <c r="DT344" s="108"/>
      <c r="DU344" s="108"/>
      <c r="DV344" s="108"/>
      <c r="DW344" s="108"/>
      <c r="DX344" s="108"/>
      <c r="DY344" s="108"/>
      <c r="DZ344" s="108"/>
      <c r="EA344" s="108"/>
      <c r="EB344" s="108"/>
      <c r="EC344" s="108"/>
      <c r="ED344" s="108"/>
      <c r="EE344" s="108"/>
      <c r="EF344" s="108"/>
      <c r="EG344" s="108"/>
      <c r="EH344" s="108"/>
      <c r="EI344" s="108"/>
      <c r="EJ344" s="108"/>
      <c r="EK344" s="108"/>
      <c r="EL344" s="108"/>
      <c r="EM344" s="108"/>
      <c r="EN344" s="108"/>
      <c r="EO344" s="108"/>
      <c r="EP344" s="108"/>
      <c r="EQ344" s="108"/>
      <c r="ER344" s="108"/>
      <c r="ES344" s="108"/>
      <c r="ET344" s="108"/>
      <c r="EU344" s="108"/>
      <c r="EV344" s="108"/>
      <c r="EW344" s="108"/>
      <c r="EX344" s="108"/>
      <c r="EY344" s="108"/>
      <c r="EZ344" s="108"/>
      <c r="FA344" s="108"/>
      <c r="FB344" s="108"/>
      <c r="FC344" s="108"/>
      <c r="FD344" s="108"/>
      <c r="FE344" s="108"/>
      <c r="FF344" s="108"/>
      <c r="FG344" s="108"/>
      <c r="FH344" s="108"/>
      <c r="FI344" s="108"/>
      <c r="FJ344" s="108"/>
      <c r="FK344" s="108"/>
      <c r="FL344" s="108"/>
      <c r="FM344" s="108"/>
      <c r="FN344" s="108"/>
      <c r="FO344" s="108"/>
      <c r="FP344" s="108"/>
      <c r="FQ344" s="108"/>
      <c r="FR344" s="108"/>
      <c r="FS344" s="108"/>
      <c r="FT344" s="108"/>
      <c r="FU344" s="108"/>
      <c r="FV344" s="108"/>
      <c r="FW344" s="108"/>
      <c r="FX344" s="108"/>
      <c r="FY344" s="108"/>
      <c r="FZ344" s="108"/>
      <c r="GA344" s="108"/>
      <c r="GB344" s="108"/>
      <c r="GC344" s="108"/>
      <c r="GD344" s="108"/>
      <c r="GE344" s="108"/>
      <c r="GF344" s="108"/>
      <c r="GG344" s="108"/>
      <c r="GH344" s="108"/>
      <c r="GI344" s="108"/>
      <c r="GJ344" s="108"/>
      <c r="GK344" s="108"/>
      <c r="GL344" s="108"/>
      <c r="GM344" s="108"/>
      <c r="GN344" s="108"/>
      <c r="GO344" s="108"/>
      <c r="GP344" s="108"/>
      <c r="GQ344" s="108"/>
      <c r="GR344" s="108"/>
      <c r="GS344" s="108"/>
      <c r="GT344" s="108"/>
      <c r="GU344" s="108"/>
      <c r="GV344" s="108"/>
      <c r="GW344" s="108"/>
      <c r="GX344" s="108"/>
      <c r="GY344" s="108"/>
      <c r="GZ344" s="108"/>
      <c r="HA344" s="108"/>
      <c r="HB344" s="108"/>
      <c r="HC344" s="108"/>
      <c r="HD344" s="108"/>
      <c r="HE344" s="108"/>
      <c r="HF344" s="108"/>
      <c r="HG344" s="108"/>
      <c r="HH344" s="108"/>
      <c r="HI344" s="108"/>
      <c r="HJ344" s="108"/>
      <c r="HK344" s="108"/>
      <c r="HL344" s="108"/>
      <c r="HM344" s="108"/>
      <c r="HN344" s="108"/>
      <c r="HO344" s="108"/>
      <c r="HP344" s="108"/>
      <c r="HQ344" s="108"/>
      <c r="HR344" s="108"/>
      <c r="HS344" s="108"/>
      <c r="HT344" s="108"/>
      <c r="HU344" s="108"/>
      <c r="HV344" s="108"/>
      <c r="HW344" s="108"/>
      <c r="HX344" s="108"/>
      <c r="HY344" s="108"/>
      <c r="HZ344" s="108"/>
      <c r="IA344" s="108"/>
      <c r="IB344" s="108"/>
      <c r="IC344" s="108"/>
      <c r="ID344" s="108"/>
      <c r="IE344" s="108"/>
      <c r="IF344" s="108"/>
      <c r="IG344" s="108"/>
      <c r="IH344" s="108"/>
      <c r="II344" s="108"/>
      <c r="IJ344" s="108"/>
      <c r="IK344" s="108"/>
      <c r="IL344" s="108"/>
      <c r="IM344" s="108"/>
      <c r="IN344" s="108"/>
      <c r="IO344" s="108"/>
      <c r="IP344" s="108"/>
      <c r="IQ344" s="108"/>
      <c r="IR344" s="108"/>
      <c r="IS344" s="108"/>
      <c r="IT344" s="108"/>
      <c r="IU344" s="108"/>
      <c r="IV344" s="108"/>
    </row>
    <row r="345" spans="1:256" ht="12.75">
      <c r="A345" t="s">
        <v>420</v>
      </c>
      <c r="B345" s="5">
        <f>B344/B20</f>
        <v>12.156504774087914</v>
      </c>
      <c r="C345" s="5">
        <f>C344/C20</f>
        <v>-12.080490625631267</v>
      </c>
      <c r="D345" s="5">
        <f>D344/D20</f>
        <v>-12.40279103907253</v>
      </c>
      <c r="E345" s="5">
        <f>E344/E20</f>
        <v>1.4516080232429482</v>
      </c>
      <c r="F345" s="5">
        <f>F344/F20</f>
        <v>4.606270977757519</v>
      </c>
      <c r="G345" s="5">
        <f>G344/G20</f>
        <v>6.368855558564497</v>
      </c>
      <c r="H345" s="5">
        <f>H344/H20</f>
        <v>-1.999930183526363</v>
      </c>
      <c r="I345" s="5">
        <f>I344/I20</f>
        <v>-12.44764983045423</v>
      </c>
      <c r="J345" s="5">
        <f>J344/J20</f>
        <v>-9.945882426945145</v>
      </c>
      <c r="K345" s="5">
        <f>K344/K20</f>
        <v>-12.543908467186306</v>
      </c>
      <c r="L345" s="5">
        <f>L344/L20</f>
        <v>-18.129826995779805</v>
      </c>
      <c r="M345" s="5">
        <f>M344/M20</f>
        <v>-10.55940888700381</v>
      </c>
      <c r="N345" s="5">
        <f>N344/N20</f>
        <v>-7.030606509184652</v>
      </c>
      <c r="O345" s="5">
        <f>O344/O20</f>
        <v>-14.370727122841545</v>
      </c>
      <c r="P345" s="5">
        <f>P344/P20</f>
        <v>-15.756398703659741</v>
      </c>
      <c r="Q345" s="5">
        <f>Q344/Q20</f>
        <v>-12.54584562729355</v>
      </c>
      <c r="R345" s="5">
        <f>R344/R20</f>
        <v>-9.929529090855622</v>
      </c>
      <c r="S345" s="5">
        <f>S344/S20</f>
        <v>-3.772636199076028</v>
      </c>
      <c r="T345" s="5">
        <f>T344/T20</f>
        <v>3.7649256801781483</v>
      </c>
      <c r="U345" s="5">
        <f>U344/U20</f>
        <v>9.048010342531192</v>
      </c>
      <c r="V345" s="5">
        <f>V344/V20</f>
        <v>15.4652850689836</v>
      </c>
      <c r="W345" s="5">
        <f>W344/W20</f>
        <v>23.334107969815097</v>
      </c>
      <c r="X345" s="5">
        <f>X344/X20</f>
        <v>17.333917187634672</v>
      </c>
      <c r="Y345" s="5">
        <f>Y344/Y20</f>
        <v>-0.6736989192801381</v>
      </c>
      <c r="Z345" s="5">
        <f>Z344/Z20</f>
        <v>-18.778838977611326</v>
      </c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  <c r="CW345" s="108"/>
      <c r="CX345" s="108"/>
      <c r="CY345" s="108"/>
      <c r="CZ345" s="108"/>
      <c r="DA345" s="108"/>
      <c r="DB345" s="108"/>
      <c r="DC345" s="108"/>
      <c r="DD345" s="108"/>
      <c r="DE345" s="108"/>
      <c r="DF345" s="108"/>
      <c r="DG345" s="108"/>
      <c r="DH345" s="108"/>
      <c r="DI345" s="108"/>
      <c r="DJ345" s="108"/>
      <c r="DK345" s="108"/>
      <c r="DL345" s="108"/>
      <c r="DM345" s="108"/>
      <c r="DN345" s="108"/>
      <c r="DO345" s="108"/>
      <c r="DP345" s="108"/>
      <c r="DQ345" s="108"/>
      <c r="DR345" s="108"/>
      <c r="DS345" s="108"/>
      <c r="DT345" s="108"/>
      <c r="DU345" s="108"/>
      <c r="DV345" s="108"/>
      <c r="DW345" s="108"/>
      <c r="DX345" s="108"/>
      <c r="DY345" s="108"/>
      <c r="DZ345" s="108"/>
      <c r="EA345" s="108"/>
      <c r="EB345" s="108"/>
      <c r="EC345" s="108"/>
      <c r="ED345" s="108"/>
      <c r="EE345" s="108"/>
      <c r="EF345" s="108"/>
      <c r="EG345" s="108"/>
      <c r="EH345" s="108"/>
      <c r="EI345" s="108"/>
      <c r="EJ345" s="108"/>
      <c r="EK345" s="108"/>
      <c r="EL345" s="108"/>
      <c r="EM345" s="108"/>
      <c r="EN345" s="108"/>
      <c r="EO345" s="108"/>
      <c r="EP345" s="108"/>
      <c r="EQ345" s="108"/>
      <c r="ER345" s="108"/>
      <c r="ES345" s="108"/>
      <c r="ET345" s="108"/>
      <c r="EU345" s="108"/>
      <c r="EV345" s="108"/>
      <c r="EW345" s="108"/>
      <c r="EX345" s="108"/>
      <c r="EY345" s="108"/>
      <c r="EZ345" s="108"/>
      <c r="FA345" s="108"/>
      <c r="FB345" s="108"/>
      <c r="FC345" s="108"/>
      <c r="FD345" s="108"/>
      <c r="FE345" s="108"/>
      <c r="FF345" s="108"/>
      <c r="FG345" s="108"/>
      <c r="FH345" s="108"/>
      <c r="FI345" s="108"/>
      <c r="FJ345" s="108"/>
      <c r="FK345" s="108"/>
      <c r="FL345" s="108"/>
      <c r="FM345" s="108"/>
      <c r="FN345" s="108"/>
      <c r="FO345" s="108"/>
      <c r="FP345" s="108"/>
      <c r="FQ345" s="108"/>
      <c r="FR345" s="108"/>
      <c r="FS345" s="108"/>
      <c r="FT345" s="108"/>
      <c r="FU345" s="108"/>
      <c r="FV345" s="108"/>
      <c r="FW345" s="108"/>
      <c r="FX345" s="108"/>
      <c r="FY345" s="108"/>
      <c r="FZ345" s="108"/>
      <c r="GA345" s="108"/>
      <c r="GB345" s="108"/>
      <c r="GC345" s="108"/>
      <c r="GD345" s="108"/>
      <c r="GE345" s="108"/>
      <c r="GF345" s="108"/>
      <c r="GG345" s="108"/>
      <c r="GH345" s="108"/>
      <c r="GI345" s="108"/>
      <c r="GJ345" s="108"/>
      <c r="GK345" s="108"/>
      <c r="GL345" s="108"/>
      <c r="GM345" s="108"/>
      <c r="GN345" s="108"/>
      <c r="GO345" s="108"/>
      <c r="GP345" s="108"/>
      <c r="GQ345" s="108"/>
      <c r="GR345" s="108"/>
      <c r="GS345" s="108"/>
      <c r="GT345" s="108"/>
      <c r="GU345" s="108"/>
      <c r="GV345" s="108"/>
      <c r="GW345" s="108"/>
      <c r="GX345" s="108"/>
      <c r="GY345" s="108"/>
      <c r="GZ345" s="108"/>
      <c r="HA345" s="108"/>
      <c r="HB345" s="108"/>
      <c r="HC345" s="108"/>
      <c r="HD345" s="108"/>
      <c r="HE345" s="108"/>
      <c r="HF345" s="108"/>
      <c r="HG345" s="108"/>
      <c r="HH345" s="108"/>
      <c r="HI345" s="108"/>
      <c r="HJ345" s="108"/>
      <c r="HK345" s="108"/>
      <c r="HL345" s="108"/>
      <c r="HM345" s="108"/>
      <c r="HN345" s="108"/>
      <c r="HO345" s="108"/>
      <c r="HP345" s="108"/>
      <c r="HQ345" s="108"/>
      <c r="HR345" s="108"/>
      <c r="HS345" s="108"/>
      <c r="HT345" s="108"/>
      <c r="HU345" s="108"/>
      <c r="HV345" s="108"/>
      <c r="HW345" s="108"/>
      <c r="HX345" s="108"/>
      <c r="HY345" s="108"/>
      <c r="HZ345" s="108"/>
      <c r="IA345" s="108"/>
      <c r="IB345" s="108"/>
      <c r="IC345" s="108"/>
      <c r="ID345" s="108"/>
      <c r="IE345" s="108"/>
      <c r="IF345" s="108"/>
      <c r="IG345" s="108"/>
      <c r="IH345" s="108"/>
      <c r="II345" s="108"/>
      <c r="IJ345" s="108"/>
      <c r="IK345" s="108"/>
      <c r="IL345" s="108"/>
      <c r="IM345" s="108"/>
      <c r="IN345" s="108"/>
      <c r="IO345" s="108"/>
      <c r="IP345" s="108"/>
      <c r="IQ345" s="108"/>
      <c r="IR345" s="108"/>
      <c r="IS345" s="108"/>
      <c r="IT345" s="108"/>
      <c r="IU345" s="108"/>
      <c r="IV345" s="108"/>
    </row>
    <row r="346" spans="1:26" s="127" customFormat="1" ht="12.75">
      <c r="A346" s="63"/>
      <c r="B346" s="63"/>
      <c r="C346" s="63"/>
      <c r="D346" s="63" t="s">
        <v>340</v>
      </c>
      <c r="E346" s="63"/>
      <c r="F346" s="63"/>
      <c r="G346" s="63"/>
      <c r="H346" s="63" t="s">
        <v>341</v>
      </c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56" s="112" customFormat="1" ht="12.75">
      <c r="A347" s="53" t="s">
        <v>429</v>
      </c>
      <c r="B347" s="55">
        <f>-(B296+B308+B209+B217)</f>
        <v>0.5906112327189166</v>
      </c>
      <c r="C347" s="55">
        <f>-(C296+C308+C209+C217)</f>
        <v>5.647825276798805</v>
      </c>
      <c r="D347" s="55">
        <f>-(D296+D308+D209+D217)</f>
        <v>7.5205002024890275</v>
      </c>
      <c r="E347" s="55">
        <f>-(E296+E308+E209+E217)</f>
        <v>3.833981069923031</v>
      </c>
      <c r="F347" s="55">
        <f>-(F296+F308+F209+F217)</f>
        <v>1.2375645972726852</v>
      </c>
      <c r="G347" s="55">
        <f>-(G296+G308+G209+G217)</f>
        <v>1.503400015996333</v>
      </c>
      <c r="H347" s="55">
        <f>-(H296+H308+H209+H217)</f>
        <v>-0.9077496449067343</v>
      </c>
      <c r="I347" s="55">
        <f>-(I296+I308+I209+I217)</f>
        <v>-2.818036027589682</v>
      </c>
      <c r="J347" s="55">
        <f>-(J296+J308+J209+J217)</f>
        <v>-1.0321383573773482</v>
      </c>
      <c r="K347" s="55">
        <f>-(K296+K308+K209+K217)</f>
        <v>-1.1237016243183013</v>
      </c>
      <c r="L347" s="55">
        <f>-(L296+L308+L209+L217)</f>
        <v>-2.272751358416296</v>
      </c>
      <c r="M347" s="55">
        <f>-(M296+M308+M209+M217)</f>
        <v>0.8625746239040784</v>
      </c>
      <c r="N347" s="55">
        <f>-(N296+N308+N209+N217)</f>
        <v>2.772663255548116</v>
      </c>
      <c r="O347" s="55">
        <f>-(O296+O308+O209+O217)</f>
        <v>-0.5643077091085198</v>
      </c>
      <c r="P347" s="55">
        <f>-(P296+P308+P209+P217)</f>
        <v>-2.408093356474607</v>
      </c>
      <c r="Q347" s="55">
        <f>-(Q296+Q308+Q209+Q217)</f>
        <v>-2.3210383029593555</v>
      </c>
      <c r="R347" s="55">
        <f>-(R296+R308+R209+R217)</f>
        <v>-4.289569122993848</v>
      </c>
      <c r="S347" s="55">
        <f>-(S296+S308+S209+S217)</f>
        <v>-4.7357835180064916</v>
      </c>
      <c r="T347" s="55">
        <f>-(T296+T308+T209+T217)</f>
        <v>-1.6305993770118954</v>
      </c>
      <c r="U347" s="55">
        <f>-(U296+U308+U209+U217)</f>
        <v>1.2952114509580608</v>
      </c>
      <c r="V347" s="55">
        <f>-(V296+V308+V209+V217)</f>
        <v>0.6085825073352594</v>
      </c>
      <c r="W347" s="55">
        <f>-(W296+W308+W209+W217)</f>
        <v>-1.064697988576293</v>
      </c>
      <c r="X347" s="55">
        <f>-(X296+X308+X209+X217)</f>
        <v>0.16325720780027425</v>
      </c>
      <c r="Y347" s="55">
        <f>-(Y296+Y308+Y209+Y217)</f>
        <v>2.2538297554292237</v>
      </c>
      <c r="Z347" s="55">
        <f>-(Z296+Z308+Z209+Z217)</f>
        <v>5.4276777195466765</v>
      </c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  <c r="AZ347" s="111"/>
      <c r="BA347" s="111"/>
      <c r="BB347" s="111"/>
      <c r="BC347" s="111"/>
      <c r="BD347" s="111"/>
      <c r="BE347" s="111"/>
      <c r="BF347" s="111"/>
      <c r="BG347" s="111"/>
      <c r="BH347" s="111"/>
      <c r="BI347" s="111"/>
      <c r="BJ347" s="111"/>
      <c r="BK347" s="111"/>
      <c r="BL347" s="111"/>
      <c r="BM347" s="111"/>
      <c r="BN347" s="111"/>
      <c r="BO347" s="111"/>
      <c r="BP347" s="111"/>
      <c r="BQ347" s="111"/>
      <c r="BR347" s="111"/>
      <c r="BS347" s="111"/>
      <c r="BT347" s="111"/>
      <c r="BU347" s="111"/>
      <c r="BV347" s="111"/>
      <c r="BW347" s="111"/>
      <c r="BX347" s="111"/>
      <c r="BY347" s="111"/>
      <c r="BZ347" s="111"/>
      <c r="CA347" s="111"/>
      <c r="CB347" s="111"/>
      <c r="CC347" s="111"/>
      <c r="CD347" s="111"/>
      <c r="CE347" s="111"/>
      <c r="CF347" s="111"/>
      <c r="CG347" s="111"/>
      <c r="CH347" s="111"/>
      <c r="CI347" s="111"/>
      <c r="CJ347" s="111"/>
      <c r="CK347" s="111"/>
      <c r="CL347" s="111"/>
      <c r="CM347" s="111"/>
      <c r="CN347" s="111"/>
      <c r="CO347" s="111"/>
      <c r="CP347" s="111"/>
      <c r="CQ347" s="111"/>
      <c r="CR347" s="111"/>
      <c r="CS347" s="111"/>
      <c r="CT347" s="111"/>
      <c r="CU347" s="111"/>
      <c r="CV347" s="111"/>
      <c r="CW347" s="111"/>
      <c r="CX347" s="111"/>
      <c r="CY347" s="111"/>
      <c r="CZ347" s="111"/>
      <c r="DA347" s="111"/>
      <c r="DB347" s="111"/>
      <c r="DC347" s="111"/>
      <c r="DD347" s="111"/>
      <c r="DE347" s="111"/>
      <c r="DF347" s="111"/>
      <c r="DG347" s="111"/>
      <c r="DH347" s="111"/>
      <c r="DI347" s="111"/>
      <c r="DJ347" s="111"/>
      <c r="DK347" s="111"/>
      <c r="DL347" s="111"/>
      <c r="DM347" s="111"/>
      <c r="DN347" s="111"/>
      <c r="DO347" s="111"/>
      <c r="DP347" s="111"/>
      <c r="DQ347" s="111"/>
      <c r="DR347" s="111"/>
      <c r="DS347" s="111"/>
      <c r="DT347" s="111"/>
      <c r="DU347" s="111"/>
      <c r="DV347" s="111"/>
      <c r="DW347" s="111"/>
      <c r="DX347" s="111"/>
      <c r="DY347" s="111"/>
      <c r="DZ347" s="111"/>
      <c r="EA347" s="111"/>
      <c r="EB347" s="111"/>
      <c r="EC347" s="111"/>
      <c r="ED347" s="111"/>
      <c r="EE347" s="111"/>
      <c r="EF347" s="111"/>
      <c r="EG347" s="111"/>
      <c r="EH347" s="111"/>
      <c r="EI347" s="111"/>
      <c r="EJ347" s="111"/>
      <c r="EK347" s="111"/>
      <c r="EL347" s="111"/>
      <c r="EM347" s="111"/>
      <c r="EN347" s="111"/>
      <c r="EO347" s="111"/>
      <c r="EP347" s="111"/>
      <c r="EQ347" s="111"/>
      <c r="ER347" s="111"/>
      <c r="ES347" s="111"/>
      <c r="ET347" s="111"/>
      <c r="EU347" s="111"/>
      <c r="EV347" s="111"/>
      <c r="EW347" s="111"/>
      <c r="EX347" s="111"/>
      <c r="EY347" s="111"/>
      <c r="EZ347" s="111"/>
      <c r="FA347" s="111"/>
      <c r="FB347" s="111"/>
      <c r="FC347" s="111"/>
      <c r="FD347" s="111"/>
      <c r="FE347" s="111"/>
      <c r="FF347" s="111"/>
      <c r="FG347" s="111"/>
      <c r="FH347" s="111"/>
      <c r="FI347" s="111"/>
      <c r="FJ347" s="111"/>
      <c r="FK347" s="111"/>
      <c r="FL347" s="111"/>
      <c r="FM347" s="111"/>
      <c r="FN347" s="111"/>
      <c r="FO347" s="111"/>
      <c r="FP347" s="111"/>
      <c r="FQ347" s="111"/>
      <c r="FR347" s="111"/>
      <c r="FS347" s="111"/>
      <c r="FT347" s="111"/>
      <c r="FU347" s="111"/>
      <c r="FV347" s="111"/>
      <c r="FW347" s="111"/>
      <c r="FX347" s="111"/>
      <c r="FY347" s="111"/>
      <c r="FZ347" s="111"/>
      <c r="GA347" s="111"/>
      <c r="GB347" s="111"/>
      <c r="GC347" s="111"/>
      <c r="GD347" s="111"/>
      <c r="GE347" s="111"/>
      <c r="GF347" s="111"/>
      <c r="GG347" s="111"/>
      <c r="GH347" s="111"/>
      <c r="GI347" s="111"/>
      <c r="GJ347" s="111"/>
      <c r="GK347" s="111"/>
      <c r="GL347" s="111"/>
      <c r="GM347" s="111"/>
      <c r="GN347" s="111"/>
      <c r="GO347" s="111"/>
      <c r="GP347" s="111"/>
      <c r="GQ347" s="111"/>
      <c r="GR347" s="111"/>
      <c r="GS347" s="111"/>
      <c r="GT347" s="111"/>
      <c r="GU347" s="111"/>
      <c r="GV347" s="111"/>
      <c r="GW347" s="111"/>
      <c r="GX347" s="111"/>
      <c r="GY347" s="111"/>
      <c r="GZ347" s="111"/>
      <c r="HA347" s="111"/>
      <c r="HB347" s="111"/>
      <c r="HC347" s="111"/>
      <c r="HD347" s="111"/>
      <c r="HE347" s="111"/>
      <c r="HF347" s="111"/>
      <c r="HG347" s="111"/>
      <c r="HH347" s="111"/>
      <c r="HI347" s="111"/>
      <c r="HJ347" s="111"/>
      <c r="HK347" s="111"/>
      <c r="HL347" s="111"/>
      <c r="HM347" s="111"/>
      <c r="HN347" s="111"/>
      <c r="HO347" s="111"/>
      <c r="HP347" s="111"/>
      <c r="HQ347" s="111"/>
      <c r="HR347" s="111"/>
      <c r="HS347" s="111"/>
      <c r="HT347" s="111"/>
      <c r="HU347" s="111"/>
      <c r="HV347" s="111"/>
      <c r="HW347" s="111"/>
      <c r="HX347" s="111"/>
      <c r="HY347" s="111"/>
      <c r="HZ347" s="111"/>
      <c r="IA347" s="111"/>
      <c r="IB347" s="111"/>
      <c r="IC347" s="111"/>
      <c r="ID347" s="111"/>
      <c r="IE347" s="111"/>
      <c r="IF347" s="111"/>
      <c r="IG347" s="111"/>
      <c r="IH347" s="111"/>
      <c r="II347" s="111"/>
      <c r="IJ347" s="111"/>
      <c r="IK347" s="111"/>
      <c r="IL347" s="111"/>
      <c r="IM347" s="111"/>
      <c r="IN347" s="111"/>
      <c r="IO347" s="111"/>
      <c r="IP347" s="111"/>
      <c r="IQ347" s="111"/>
      <c r="IR347" s="111"/>
      <c r="IS347" s="111"/>
      <c r="IT347" s="111"/>
      <c r="IU347" s="111"/>
      <c r="IV347" s="111"/>
    </row>
    <row r="348" spans="1:256" s="112" customFormat="1" ht="12.75">
      <c r="A348" s="53" t="s">
        <v>430</v>
      </c>
      <c r="B348" s="55">
        <f>-(B297+B309+B210+B218+$B$307+$B$302)</f>
        <v>-42.864121222165934</v>
      </c>
      <c r="C348" s="55">
        <f>-(C297+C309+C210+C218+$B$307+$B$302)</f>
        <v>-38.7512980006974</v>
      </c>
      <c r="D348" s="55">
        <f>-(D297+D309+D210+D218+$B$307+$B$302)</f>
        <v>-75.4356761587973</v>
      </c>
      <c r="E348" s="55">
        <f>-(E297+E309+E210+E218+$B$307+$B$302)</f>
        <v>-59.916467999171765</v>
      </c>
      <c r="F348" s="55">
        <f>-(F297+F309+F210+F218+$B$307+$B$302)</f>
        <v>-59.29570338848339</v>
      </c>
      <c r="G348" s="55">
        <f>-(G297+G309+G210+G218+$B$307+$B$302)</f>
        <v>-67.06006712416178</v>
      </c>
      <c r="H348" s="55">
        <f>-(H297+H309+H210+H218+$B$307+$B$302)</f>
        <v>-44.580229908592855</v>
      </c>
      <c r="I348" s="55">
        <f>-(I297+I309+I210+I218+$B$307+$B$302)</f>
        <v>-46.732186924753115</v>
      </c>
      <c r="J348" s="55">
        <f>-(J297+J309+J210+J218+$B$307+$B$302)</f>
        <v>-46.86065375307096</v>
      </c>
      <c r="K348" s="55">
        <f>-(K297+K309+K210+K218+$B$307+$B$302)</f>
        <v>-47.524796338546054</v>
      </c>
      <c r="L348" s="55">
        <f>-(L297+L309+L210+L218+$B$307+$B$302)</f>
        <v>-47.89209345791308</v>
      </c>
      <c r="M348" s="55">
        <f>-(M297+M309+M210+M218+$B$307+$B$302)</f>
        <v>-47.79781515101117</v>
      </c>
      <c r="N348" s="55">
        <f>-(N297+N309+N210+N218+$B$307+$B$302)</f>
        <v>-48.254726395708786</v>
      </c>
      <c r="O348" s="55">
        <f>-(O297+O309+O210+O218+$B$307+$B$302)</f>
        <v>-49.683826117054224</v>
      </c>
      <c r="P348" s="55">
        <f>-(P297+P309+P210+P218+$B$307+$B$302)</f>
        <v>-50.995438050133075</v>
      </c>
      <c r="Q348" s="55">
        <f>-(Q297+Q309+Q210+Q218+$B$307+$B$302)</f>
        <v>-50.95705703349445</v>
      </c>
      <c r="R348" s="55">
        <f>-(R297+R309+R210+R218+$B$307+$B$302)</f>
        <v>-49.747093310933295</v>
      </c>
      <c r="S348" s="55">
        <f>-(S297+S309+S210+S218+$B$307+$B$302)</f>
        <v>-48.62314064758727</v>
      </c>
      <c r="T348" s="55">
        <f>-(T297+T309+T210+T218+$B$307+$B$302)</f>
        <v>-48.29085055337207</v>
      </c>
      <c r="U348" s="55">
        <f>-(U297+U309+U210+U218+$B$307+$B$302)</f>
        <v>-48.19399945941211</v>
      </c>
      <c r="V348" s="55">
        <f>-(V297+V309+V210+V218+$B$307+$B$302)</f>
        <v>-47.62266434708422</v>
      </c>
      <c r="W348" s="55">
        <f>-(W297+W309+W210+W218+$B$307+$B$302)</f>
        <v>-46.71559238579371</v>
      </c>
      <c r="X348" s="55">
        <f>-(X297+X309+X210+X218+$B$307+$B$302)</f>
        <v>-45.67165049275216</v>
      </c>
      <c r="Y348" s="55">
        <f>-(Y297+Y309+Y210+Y218+$B$307+$B$302)</f>
        <v>-44.13140515300834</v>
      </c>
      <c r="Z348" s="55">
        <f>-(Z297+Z309+Z210+Z218+$B$307+$B$302)</f>
        <v>-42.70746209452324</v>
      </c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  <c r="AZ348" s="111"/>
      <c r="BA348" s="111"/>
      <c r="BB348" s="111"/>
      <c r="BC348" s="111"/>
      <c r="BD348" s="111"/>
      <c r="BE348" s="111"/>
      <c r="BF348" s="111"/>
      <c r="BG348" s="111"/>
      <c r="BH348" s="111"/>
      <c r="BI348" s="111"/>
      <c r="BJ348" s="111"/>
      <c r="BK348" s="111"/>
      <c r="BL348" s="111"/>
      <c r="BM348" s="111"/>
      <c r="BN348" s="111"/>
      <c r="BO348" s="111"/>
      <c r="BP348" s="111"/>
      <c r="BQ348" s="111"/>
      <c r="BR348" s="111"/>
      <c r="BS348" s="111"/>
      <c r="BT348" s="111"/>
      <c r="BU348" s="111"/>
      <c r="BV348" s="111"/>
      <c r="BW348" s="111"/>
      <c r="BX348" s="111"/>
      <c r="BY348" s="111"/>
      <c r="BZ348" s="111"/>
      <c r="CA348" s="111"/>
      <c r="CB348" s="111"/>
      <c r="CC348" s="111"/>
      <c r="CD348" s="111"/>
      <c r="CE348" s="111"/>
      <c r="CF348" s="111"/>
      <c r="CG348" s="111"/>
      <c r="CH348" s="111"/>
      <c r="CI348" s="111"/>
      <c r="CJ348" s="111"/>
      <c r="CK348" s="111"/>
      <c r="CL348" s="111"/>
      <c r="CM348" s="111"/>
      <c r="CN348" s="111"/>
      <c r="CO348" s="111"/>
      <c r="CP348" s="111"/>
      <c r="CQ348" s="111"/>
      <c r="CR348" s="111"/>
      <c r="CS348" s="111"/>
      <c r="CT348" s="111"/>
      <c r="CU348" s="111"/>
      <c r="CV348" s="111"/>
      <c r="CW348" s="111"/>
      <c r="CX348" s="111"/>
      <c r="CY348" s="111"/>
      <c r="CZ348" s="111"/>
      <c r="DA348" s="111"/>
      <c r="DB348" s="111"/>
      <c r="DC348" s="111"/>
      <c r="DD348" s="111"/>
      <c r="DE348" s="111"/>
      <c r="DF348" s="111"/>
      <c r="DG348" s="111"/>
      <c r="DH348" s="111"/>
      <c r="DI348" s="111"/>
      <c r="DJ348" s="111"/>
      <c r="DK348" s="111"/>
      <c r="DL348" s="111"/>
      <c r="DM348" s="111"/>
      <c r="DN348" s="111"/>
      <c r="DO348" s="111"/>
      <c r="DP348" s="111"/>
      <c r="DQ348" s="111"/>
      <c r="DR348" s="111"/>
      <c r="DS348" s="111"/>
      <c r="DT348" s="111"/>
      <c r="DU348" s="111"/>
      <c r="DV348" s="111"/>
      <c r="DW348" s="111"/>
      <c r="DX348" s="111"/>
      <c r="DY348" s="111"/>
      <c r="DZ348" s="111"/>
      <c r="EA348" s="111"/>
      <c r="EB348" s="111"/>
      <c r="EC348" s="111"/>
      <c r="ED348" s="111"/>
      <c r="EE348" s="111"/>
      <c r="EF348" s="111"/>
      <c r="EG348" s="111"/>
      <c r="EH348" s="111"/>
      <c r="EI348" s="111"/>
      <c r="EJ348" s="111"/>
      <c r="EK348" s="111"/>
      <c r="EL348" s="111"/>
      <c r="EM348" s="111"/>
      <c r="EN348" s="111"/>
      <c r="EO348" s="111"/>
      <c r="EP348" s="111"/>
      <c r="EQ348" s="111"/>
      <c r="ER348" s="111"/>
      <c r="ES348" s="111"/>
      <c r="ET348" s="111"/>
      <c r="EU348" s="111"/>
      <c r="EV348" s="111"/>
      <c r="EW348" s="111"/>
      <c r="EX348" s="111"/>
      <c r="EY348" s="111"/>
      <c r="EZ348" s="111"/>
      <c r="FA348" s="111"/>
      <c r="FB348" s="111"/>
      <c r="FC348" s="111"/>
      <c r="FD348" s="111"/>
      <c r="FE348" s="111"/>
      <c r="FF348" s="111"/>
      <c r="FG348" s="111"/>
      <c r="FH348" s="111"/>
      <c r="FI348" s="111"/>
      <c r="FJ348" s="111"/>
      <c r="FK348" s="111"/>
      <c r="FL348" s="111"/>
      <c r="FM348" s="111"/>
      <c r="FN348" s="111"/>
      <c r="FO348" s="111"/>
      <c r="FP348" s="111"/>
      <c r="FQ348" s="111"/>
      <c r="FR348" s="111"/>
      <c r="FS348" s="111"/>
      <c r="FT348" s="111"/>
      <c r="FU348" s="111"/>
      <c r="FV348" s="111"/>
      <c r="FW348" s="111"/>
      <c r="FX348" s="111"/>
      <c r="FY348" s="111"/>
      <c r="FZ348" s="111"/>
      <c r="GA348" s="111"/>
      <c r="GB348" s="111"/>
      <c r="GC348" s="111"/>
      <c r="GD348" s="111"/>
      <c r="GE348" s="111"/>
      <c r="GF348" s="111"/>
      <c r="GG348" s="111"/>
      <c r="GH348" s="111"/>
      <c r="GI348" s="111"/>
      <c r="GJ348" s="111"/>
      <c r="GK348" s="111"/>
      <c r="GL348" s="111"/>
      <c r="GM348" s="111"/>
      <c r="GN348" s="111"/>
      <c r="GO348" s="111"/>
      <c r="GP348" s="111"/>
      <c r="GQ348" s="111"/>
      <c r="GR348" s="111"/>
      <c r="GS348" s="111"/>
      <c r="GT348" s="111"/>
      <c r="GU348" s="111"/>
      <c r="GV348" s="111"/>
      <c r="GW348" s="111"/>
      <c r="GX348" s="111"/>
      <c r="GY348" s="111"/>
      <c r="GZ348" s="111"/>
      <c r="HA348" s="111"/>
      <c r="HB348" s="111"/>
      <c r="HC348" s="111"/>
      <c r="HD348" s="111"/>
      <c r="HE348" s="111"/>
      <c r="HF348" s="111"/>
      <c r="HG348" s="111"/>
      <c r="HH348" s="111"/>
      <c r="HI348" s="111"/>
      <c r="HJ348" s="111"/>
      <c r="HK348" s="111"/>
      <c r="HL348" s="111"/>
      <c r="HM348" s="111"/>
      <c r="HN348" s="111"/>
      <c r="HO348" s="111"/>
      <c r="HP348" s="111"/>
      <c r="HQ348" s="111"/>
      <c r="HR348" s="111"/>
      <c r="HS348" s="111"/>
      <c r="HT348" s="111"/>
      <c r="HU348" s="111"/>
      <c r="HV348" s="111"/>
      <c r="HW348" s="111"/>
      <c r="HX348" s="111"/>
      <c r="HY348" s="111"/>
      <c r="HZ348" s="111"/>
      <c r="IA348" s="111"/>
      <c r="IB348" s="111"/>
      <c r="IC348" s="111"/>
      <c r="ID348" s="111"/>
      <c r="IE348" s="111"/>
      <c r="IF348" s="111"/>
      <c r="IG348" s="111"/>
      <c r="IH348" s="111"/>
      <c r="II348" s="111"/>
      <c r="IJ348" s="111"/>
      <c r="IK348" s="111"/>
      <c r="IL348" s="111"/>
      <c r="IM348" s="111"/>
      <c r="IN348" s="111"/>
      <c r="IO348" s="111"/>
      <c r="IP348" s="111"/>
      <c r="IQ348" s="111"/>
      <c r="IR348" s="111"/>
      <c r="IS348" s="111"/>
      <c r="IT348" s="111"/>
      <c r="IU348" s="111"/>
      <c r="IV348" s="111"/>
    </row>
    <row r="349" spans="1:26" s="112" customFormat="1" ht="12.75">
      <c r="A349" s="53" t="s">
        <v>431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56" s="112" customFormat="1" ht="12.75">
      <c r="A350" s="53" t="s">
        <v>429</v>
      </c>
      <c r="B350" s="55">
        <f>B347-B357</f>
        <v>-2.345318293808535</v>
      </c>
      <c r="C350" s="55">
        <f>C347-C357</f>
        <v>1.9580011102058519</v>
      </c>
      <c r="D350" s="55">
        <f>D347-D357</f>
        <v>3.3460804516674862</v>
      </c>
      <c r="E350" s="55">
        <f>E347-E357</f>
        <v>-0.670453469386334</v>
      </c>
      <c r="F350" s="55">
        <f>F347-F357</f>
        <v>-3.337092921733575</v>
      </c>
      <c r="G350" s="55">
        <f>G347-G357</f>
        <v>-2.7495109697075115</v>
      </c>
      <c r="H350" s="55">
        <f>H347-H357</f>
        <v>-4.588320871273105</v>
      </c>
      <c r="I350" s="55">
        <f>I347-I357</f>
        <v>-5.941345880430861</v>
      </c>
      <c r="J350" s="55">
        <f>J347-J357</f>
        <v>-3.6983120483478125</v>
      </c>
      <c r="K350" s="55">
        <f>K347-K357</f>
        <v>-3.3805217262009677</v>
      </c>
      <c r="L350" s="55">
        <f>L347-L357</f>
        <v>-4.179011840625487</v>
      </c>
      <c r="M350" s="55">
        <f>M347-M357</f>
        <v>-0.7884934044075658</v>
      </c>
      <c r="N350" s="55">
        <f>N347-N357</f>
        <v>1.3461204407834113</v>
      </c>
      <c r="O350" s="55">
        <f>O347-O357</f>
        <v>-1.72617438403347</v>
      </c>
      <c r="P350" s="55">
        <f>P347-P357</f>
        <v>-3.34587024991485</v>
      </c>
      <c r="Q350" s="55">
        <f>Q347-Q357</f>
        <v>-3.2164154817484065</v>
      </c>
      <c r="R350" s="55">
        <f>R347-R357</f>
        <v>-5.309359569234378</v>
      </c>
      <c r="S350" s="55">
        <f>S347-S357</f>
        <v>-5.879441958377941</v>
      </c>
      <c r="T350" s="55">
        <f>T347-T357</f>
        <v>-2.793502351315743</v>
      </c>
      <c r="U350" s="55">
        <f>U347-U357</f>
        <v>0.15676828439175083</v>
      </c>
      <c r="V350" s="55">
        <f>V347-V357</f>
        <v>-0.5506688723839</v>
      </c>
      <c r="W350" s="55">
        <f>W347-W357</f>
        <v>-2.295367462180028</v>
      </c>
      <c r="X350" s="55">
        <f>X347-X357</f>
        <v>-1.2688870569897441</v>
      </c>
      <c r="Y350" s="55">
        <f>Y347-Y357</f>
        <v>0.2323816306479518</v>
      </c>
      <c r="Z350" s="55">
        <f>Z347-Z357</f>
        <v>2.491748193019225</v>
      </c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/>
      <c r="BE350" s="111"/>
      <c r="BF350" s="111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11"/>
      <c r="BY350" s="111"/>
      <c r="BZ350" s="111"/>
      <c r="CA350" s="111"/>
      <c r="CB350" s="111"/>
      <c r="CC350" s="111"/>
      <c r="CD350" s="111"/>
      <c r="CE350" s="111"/>
      <c r="CF350" s="111"/>
      <c r="CG350" s="111"/>
      <c r="CH350" s="111"/>
      <c r="CI350" s="111"/>
      <c r="CJ350" s="111"/>
      <c r="CK350" s="111"/>
      <c r="CL350" s="111"/>
      <c r="CM350" s="111"/>
      <c r="CN350" s="111"/>
      <c r="CO350" s="111"/>
      <c r="CP350" s="111"/>
      <c r="CQ350" s="111"/>
      <c r="CR350" s="111"/>
      <c r="CS350" s="111"/>
      <c r="CT350" s="111"/>
      <c r="CU350" s="111"/>
      <c r="CV350" s="111"/>
      <c r="CW350" s="111"/>
      <c r="CX350" s="111"/>
      <c r="CY350" s="111"/>
      <c r="CZ350" s="111"/>
      <c r="DA350" s="111"/>
      <c r="DB350" s="111"/>
      <c r="DC350" s="111"/>
      <c r="DD350" s="111"/>
      <c r="DE350" s="111"/>
      <c r="DF350" s="111"/>
      <c r="DG350" s="111"/>
      <c r="DH350" s="111"/>
      <c r="DI350" s="111"/>
      <c r="DJ350" s="111"/>
      <c r="DK350" s="111"/>
      <c r="DL350" s="111"/>
      <c r="DM350" s="111"/>
      <c r="DN350" s="111"/>
      <c r="DO350" s="111"/>
      <c r="DP350" s="111"/>
      <c r="DQ350" s="111"/>
      <c r="DR350" s="111"/>
      <c r="DS350" s="111"/>
      <c r="DT350" s="111"/>
      <c r="DU350" s="111"/>
      <c r="DV350" s="111"/>
      <c r="DW350" s="111"/>
      <c r="DX350" s="111"/>
      <c r="DY350" s="111"/>
      <c r="DZ350" s="111"/>
      <c r="EA350" s="111"/>
      <c r="EB350" s="111"/>
      <c r="EC350" s="111"/>
      <c r="ED350" s="111"/>
      <c r="EE350" s="111"/>
      <c r="EF350" s="111"/>
      <c r="EG350" s="111"/>
      <c r="EH350" s="111"/>
      <c r="EI350" s="111"/>
      <c r="EJ350" s="111"/>
      <c r="EK350" s="111"/>
      <c r="EL350" s="111"/>
      <c r="EM350" s="111"/>
      <c r="EN350" s="111"/>
      <c r="EO350" s="111"/>
      <c r="EP350" s="111"/>
      <c r="EQ350" s="111"/>
      <c r="ER350" s="111"/>
      <c r="ES350" s="111"/>
      <c r="ET350" s="111"/>
      <c r="EU350" s="111"/>
      <c r="EV350" s="111"/>
      <c r="EW350" s="111"/>
      <c r="EX350" s="111"/>
      <c r="EY350" s="111"/>
      <c r="EZ350" s="111"/>
      <c r="FA350" s="111"/>
      <c r="FB350" s="111"/>
      <c r="FC350" s="111"/>
      <c r="FD350" s="111"/>
      <c r="FE350" s="111"/>
      <c r="FF350" s="111"/>
      <c r="FG350" s="111"/>
      <c r="FH350" s="111"/>
      <c r="FI350" s="111"/>
      <c r="FJ350" s="111"/>
      <c r="FK350" s="111"/>
      <c r="FL350" s="111"/>
      <c r="FM350" s="111"/>
      <c r="FN350" s="111"/>
      <c r="FO350" s="111"/>
      <c r="FP350" s="111"/>
      <c r="FQ350" s="111"/>
      <c r="FR350" s="111"/>
      <c r="FS350" s="111"/>
      <c r="FT350" s="111"/>
      <c r="FU350" s="111"/>
      <c r="FV350" s="111"/>
      <c r="FW350" s="111"/>
      <c r="FX350" s="111"/>
      <c r="FY350" s="111"/>
      <c r="FZ350" s="111"/>
      <c r="GA350" s="111"/>
      <c r="GB350" s="111"/>
      <c r="GC350" s="111"/>
      <c r="GD350" s="111"/>
      <c r="GE350" s="111"/>
      <c r="GF350" s="111"/>
      <c r="GG350" s="111"/>
      <c r="GH350" s="111"/>
      <c r="GI350" s="111"/>
      <c r="GJ350" s="111"/>
      <c r="GK350" s="111"/>
      <c r="GL350" s="111"/>
      <c r="GM350" s="111"/>
      <c r="GN350" s="111"/>
      <c r="GO350" s="111"/>
      <c r="GP350" s="111"/>
      <c r="GQ350" s="111"/>
      <c r="GR350" s="111"/>
      <c r="GS350" s="111"/>
      <c r="GT350" s="111"/>
      <c r="GU350" s="111"/>
      <c r="GV350" s="111"/>
      <c r="GW350" s="111"/>
      <c r="GX350" s="111"/>
      <c r="GY350" s="111"/>
      <c r="GZ350" s="111"/>
      <c r="HA350" s="111"/>
      <c r="HB350" s="111"/>
      <c r="HC350" s="111"/>
      <c r="HD350" s="111"/>
      <c r="HE350" s="111"/>
      <c r="HF350" s="111"/>
      <c r="HG350" s="111"/>
      <c r="HH350" s="111"/>
      <c r="HI350" s="111"/>
      <c r="HJ350" s="111"/>
      <c r="HK350" s="111"/>
      <c r="HL350" s="111"/>
      <c r="HM350" s="111"/>
      <c r="HN350" s="111"/>
      <c r="HO350" s="111"/>
      <c r="HP350" s="111"/>
      <c r="HQ350" s="111"/>
      <c r="HR350" s="111"/>
      <c r="HS350" s="111"/>
      <c r="HT350" s="111"/>
      <c r="HU350" s="111"/>
      <c r="HV350" s="111"/>
      <c r="HW350" s="111"/>
      <c r="HX350" s="111"/>
      <c r="HY350" s="111"/>
      <c r="HZ350" s="111"/>
      <c r="IA350" s="111"/>
      <c r="IB350" s="111"/>
      <c r="IC350" s="111"/>
      <c r="ID350" s="111"/>
      <c r="IE350" s="111"/>
      <c r="IF350" s="111"/>
      <c r="IG350" s="111"/>
      <c r="IH350" s="111"/>
      <c r="II350" s="111"/>
      <c r="IJ350" s="111"/>
      <c r="IK350" s="111"/>
      <c r="IL350" s="111"/>
      <c r="IM350" s="111"/>
      <c r="IN350" s="111"/>
      <c r="IO350" s="111"/>
      <c r="IP350" s="111"/>
      <c r="IQ350" s="111"/>
      <c r="IR350" s="111"/>
      <c r="IS350" s="111"/>
      <c r="IT350" s="111"/>
      <c r="IU350" s="111"/>
      <c r="IV350" s="111"/>
    </row>
    <row r="351" spans="1:256" s="112" customFormat="1" ht="12.75">
      <c r="A351" s="53" t="s">
        <v>430</v>
      </c>
      <c r="B351" s="55">
        <f>-(B297+B309+B210+B218+$B$307+$B$302)-B358</f>
        <v>-41.16906151970354</v>
      </c>
      <c r="C351" s="55">
        <f>-(C297+C309+C210+C218+$B$307+$B$302)-C358</f>
        <v>-36.62097702485257</v>
      </c>
      <c r="D351" s="55">
        <f>-(D297+D309+D210+D218+$B$307+$B$302)-D358</f>
        <v>-73.02557379195</v>
      </c>
      <c r="E351" s="55">
        <f>-(E297+E309+E210+E218+$B$307+$B$302)-E358</f>
        <v>-57.31583150535445</v>
      </c>
      <c r="F351" s="55">
        <f>-(F297+F309+F210+F218+$B$307+$B$302)-F358</f>
        <v>-56.654523638434775</v>
      </c>
      <c r="G351" s="55">
        <f>-(G297+G309+G210+G218+$B$307+$B$302)-G358</f>
        <v>-64.60464782172615</v>
      </c>
      <c r="H351" s="55">
        <f>-(H297+H309+H210+H218+$B$307+$B$302)-H358</f>
        <v>-42.45525112027864</v>
      </c>
      <c r="I351" s="55">
        <f>-(I297+I309+I210+I218+$B$307+$B$302)-I358</f>
        <v>-44.92894314045265</v>
      </c>
      <c r="J351" s="55">
        <f>-(J297+J309+J210+J218+$B$307+$B$302)-J358</f>
        <v>-45.32133765488287</v>
      </c>
      <c r="K351" s="55">
        <f>-(K297+K309+K210+K218+$B$307+$B$302)-K358</f>
        <v>-46.22182064521154</v>
      </c>
      <c r="L351" s="55">
        <f>-(L297+L309+L210+L218+$B$307+$B$302)-L358</f>
        <v>-46.791513455364054</v>
      </c>
      <c r="M351" s="55">
        <f>-(M297+M309+M210+M218+$B$307+$B$302)-M358</f>
        <v>-46.84457058041506</v>
      </c>
      <c r="N351" s="55">
        <f>-(N297+N309+N210+N218+$B$307+$B$302)-N358</f>
        <v>-47.431111517593855</v>
      </c>
      <c r="O351" s="55">
        <f>-(O297+O309+O210+O218+$B$307+$B$302)-O358</f>
        <v>-49.01302207952385</v>
      </c>
      <c r="P351" s="55">
        <f>-(P297+P309+P210+P218+$B$307+$B$302)-P358</f>
        <v>-50.45401230826554</v>
      </c>
      <c r="Q351" s="55">
        <f>-(Q297+Q309+Q210+Q218+$B$307+$B$302)-Q358</f>
        <v>-50.44011077829435</v>
      </c>
      <c r="R351" s="55">
        <f>-(R297+R309+R210+R218+$B$307+$B$302)-R358</f>
        <v>-49.15831702227932</v>
      </c>
      <c r="S351" s="55">
        <f>-(S297+S309+S210+S218+$B$307+$B$302)-S358</f>
        <v>-47.96284913917783</v>
      </c>
      <c r="T351" s="55">
        <f>-(T297+T309+T210+T218+$B$307+$B$302)-T358</f>
        <v>-47.619448208116324</v>
      </c>
      <c r="U351" s="55">
        <f>-(U297+U309+U210+U218+$B$307+$B$302)-U358</f>
        <v>-47.53671899073796</v>
      </c>
      <c r="V351" s="55">
        <f>-(V297+V309+V210+V218+$B$307+$B$302)-V358</f>
        <v>-46.953370250944914</v>
      </c>
      <c r="W351" s="55">
        <f>-(W297+W309+W210+W218+$B$307+$B$302)-W358</f>
        <v>-46.00506503392514</v>
      </c>
      <c r="X351" s="55">
        <f>-(X297+X309+X210+X218+$B$307+$B$302)-X358</f>
        <v>-44.84480161595726</v>
      </c>
      <c r="Y351" s="55">
        <f>-(Y297+Y309+Y210+Y218+$B$307+$B$302)-Y358</f>
        <v>-42.964321534013</v>
      </c>
      <c r="Z351" s="55">
        <f>-(Z297+Z309+Z210+Z218+$B$307+$B$302)-Z358</f>
        <v>-41.01240239206084</v>
      </c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  <c r="AZ351" s="111"/>
      <c r="BA351" s="111"/>
      <c r="BB351" s="111"/>
      <c r="BC351" s="111"/>
      <c r="BD351" s="111"/>
      <c r="BE351" s="111"/>
      <c r="BF351" s="111"/>
      <c r="BG351" s="111"/>
      <c r="BH351" s="111"/>
      <c r="BI351" s="111"/>
      <c r="BJ351" s="111"/>
      <c r="BK351" s="111"/>
      <c r="BL351" s="111"/>
      <c r="BM351" s="111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111"/>
      <c r="BX351" s="111"/>
      <c r="BY351" s="111"/>
      <c r="BZ351" s="111"/>
      <c r="CA351" s="111"/>
      <c r="CB351" s="111"/>
      <c r="CC351" s="111"/>
      <c r="CD351" s="111"/>
      <c r="CE351" s="111"/>
      <c r="CF351" s="111"/>
      <c r="CG351" s="111"/>
      <c r="CH351" s="111"/>
      <c r="CI351" s="111"/>
      <c r="CJ351" s="111"/>
      <c r="CK351" s="111"/>
      <c r="CL351" s="111"/>
      <c r="CM351" s="111"/>
      <c r="CN351" s="111"/>
      <c r="CO351" s="111"/>
      <c r="CP351" s="111"/>
      <c r="CQ351" s="111"/>
      <c r="CR351" s="111"/>
      <c r="CS351" s="111"/>
      <c r="CT351" s="111"/>
      <c r="CU351" s="111"/>
      <c r="CV351" s="111"/>
      <c r="CW351" s="111"/>
      <c r="CX351" s="111"/>
      <c r="CY351" s="111"/>
      <c r="CZ351" s="111"/>
      <c r="DA351" s="111"/>
      <c r="DB351" s="111"/>
      <c r="DC351" s="111"/>
      <c r="DD351" s="111"/>
      <c r="DE351" s="111"/>
      <c r="DF351" s="111"/>
      <c r="DG351" s="111"/>
      <c r="DH351" s="111"/>
      <c r="DI351" s="111"/>
      <c r="DJ351" s="111"/>
      <c r="DK351" s="111"/>
      <c r="DL351" s="111"/>
      <c r="DM351" s="111"/>
      <c r="DN351" s="111"/>
      <c r="DO351" s="111"/>
      <c r="DP351" s="111"/>
      <c r="DQ351" s="111"/>
      <c r="DR351" s="111"/>
      <c r="DS351" s="111"/>
      <c r="DT351" s="111"/>
      <c r="DU351" s="111"/>
      <c r="DV351" s="111"/>
      <c r="DW351" s="111"/>
      <c r="DX351" s="111"/>
      <c r="DY351" s="111"/>
      <c r="DZ351" s="111"/>
      <c r="EA351" s="111"/>
      <c r="EB351" s="111"/>
      <c r="EC351" s="111"/>
      <c r="ED351" s="111"/>
      <c r="EE351" s="111"/>
      <c r="EF351" s="111"/>
      <c r="EG351" s="111"/>
      <c r="EH351" s="111"/>
      <c r="EI351" s="111"/>
      <c r="EJ351" s="111"/>
      <c r="EK351" s="111"/>
      <c r="EL351" s="111"/>
      <c r="EM351" s="111"/>
      <c r="EN351" s="111"/>
      <c r="EO351" s="111"/>
      <c r="EP351" s="111"/>
      <c r="EQ351" s="111"/>
      <c r="ER351" s="111"/>
      <c r="ES351" s="111"/>
      <c r="ET351" s="111"/>
      <c r="EU351" s="111"/>
      <c r="EV351" s="111"/>
      <c r="EW351" s="111"/>
      <c r="EX351" s="111"/>
      <c r="EY351" s="111"/>
      <c r="EZ351" s="111"/>
      <c r="FA351" s="111"/>
      <c r="FB351" s="111"/>
      <c r="FC351" s="111"/>
      <c r="FD351" s="111"/>
      <c r="FE351" s="111"/>
      <c r="FF351" s="111"/>
      <c r="FG351" s="111"/>
      <c r="FH351" s="111"/>
      <c r="FI351" s="111"/>
      <c r="FJ351" s="111"/>
      <c r="FK351" s="111"/>
      <c r="FL351" s="111"/>
      <c r="FM351" s="111"/>
      <c r="FN351" s="111"/>
      <c r="FO351" s="111"/>
      <c r="FP351" s="111"/>
      <c r="FQ351" s="111"/>
      <c r="FR351" s="111"/>
      <c r="FS351" s="111"/>
      <c r="FT351" s="111"/>
      <c r="FU351" s="111"/>
      <c r="FV351" s="111"/>
      <c r="FW351" s="111"/>
      <c r="FX351" s="111"/>
      <c r="FY351" s="111"/>
      <c r="FZ351" s="111"/>
      <c r="GA351" s="111"/>
      <c r="GB351" s="111"/>
      <c r="GC351" s="111"/>
      <c r="GD351" s="111"/>
      <c r="GE351" s="111"/>
      <c r="GF351" s="111"/>
      <c r="GG351" s="111"/>
      <c r="GH351" s="111"/>
      <c r="GI351" s="111"/>
      <c r="GJ351" s="111"/>
      <c r="GK351" s="111"/>
      <c r="GL351" s="111"/>
      <c r="GM351" s="111"/>
      <c r="GN351" s="111"/>
      <c r="GO351" s="111"/>
      <c r="GP351" s="111"/>
      <c r="GQ351" s="111"/>
      <c r="GR351" s="111"/>
      <c r="GS351" s="111"/>
      <c r="GT351" s="111"/>
      <c r="GU351" s="111"/>
      <c r="GV351" s="111"/>
      <c r="GW351" s="111"/>
      <c r="GX351" s="111"/>
      <c r="GY351" s="111"/>
      <c r="GZ351" s="111"/>
      <c r="HA351" s="111"/>
      <c r="HB351" s="111"/>
      <c r="HC351" s="111"/>
      <c r="HD351" s="111"/>
      <c r="HE351" s="111"/>
      <c r="HF351" s="111"/>
      <c r="HG351" s="111"/>
      <c r="HH351" s="111"/>
      <c r="HI351" s="111"/>
      <c r="HJ351" s="111"/>
      <c r="HK351" s="111"/>
      <c r="HL351" s="111"/>
      <c r="HM351" s="111"/>
      <c r="HN351" s="111"/>
      <c r="HO351" s="111"/>
      <c r="HP351" s="111"/>
      <c r="HQ351" s="111"/>
      <c r="HR351" s="111"/>
      <c r="HS351" s="111"/>
      <c r="HT351" s="111"/>
      <c r="HU351" s="111"/>
      <c r="HV351" s="111"/>
      <c r="HW351" s="111"/>
      <c r="HX351" s="111"/>
      <c r="HY351" s="111"/>
      <c r="HZ351" s="111"/>
      <c r="IA351" s="111"/>
      <c r="IB351" s="111"/>
      <c r="IC351" s="111"/>
      <c r="ID351" s="111"/>
      <c r="IE351" s="111"/>
      <c r="IF351" s="111"/>
      <c r="IG351" s="111"/>
      <c r="IH351" s="111"/>
      <c r="II351" s="111"/>
      <c r="IJ351" s="111"/>
      <c r="IK351" s="111"/>
      <c r="IL351" s="111"/>
      <c r="IM351" s="111"/>
      <c r="IN351" s="111"/>
      <c r="IO351" s="111"/>
      <c r="IP351" s="111"/>
      <c r="IQ351" s="111"/>
      <c r="IR351" s="111"/>
      <c r="IS351" s="111"/>
      <c r="IT351" s="111"/>
      <c r="IU351" s="111"/>
      <c r="IV351" s="111"/>
    </row>
    <row r="352" spans="1:26" s="127" customFormat="1" ht="12.75">
      <c r="A352" s="53"/>
      <c r="B352" s="73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s="127" customFormat="1" ht="12.75">
      <c r="A353" s="53" t="s">
        <v>432</v>
      </c>
      <c r="B353" s="73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56" s="112" customFormat="1" ht="12.75">
      <c r="A354" s="53" t="s">
        <v>429</v>
      </c>
      <c r="B354" s="55">
        <f>B350-B372</f>
        <v>-2.0800856304113626</v>
      </c>
      <c r="C354" s="55">
        <f>C350-C372</f>
        <v>1.686989828035079</v>
      </c>
      <c r="D354" s="55">
        <f>D350-D372</f>
        <v>2.6681288338598934</v>
      </c>
      <c r="E354" s="55">
        <f>E350-E372</f>
        <v>-1.555832259163771</v>
      </c>
      <c r="F354" s="55">
        <f>F350-F372</f>
        <v>-4.187963960003931</v>
      </c>
      <c r="G354" s="55">
        <f>G350-G372</f>
        <v>-3.3274131229987782</v>
      </c>
      <c r="H354" s="55">
        <f>H350-H372</f>
        <v>-4.761233163776829</v>
      </c>
      <c r="I354" s="55">
        <f>I350-I372</f>
        <v>-5.711729877370821</v>
      </c>
      <c r="J354" s="55">
        <f>J350-J372</f>
        <v>-3.120883510369332</v>
      </c>
      <c r="K354" s="55">
        <f>K350-K372</f>
        <v>-2.5103020498640687</v>
      </c>
      <c r="L354" s="55">
        <f>L350-L372</f>
        <v>-3.0829945259809026</v>
      </c>
      <c r="M354" s="55">
        <f>M350-M372</f>
        <v>0.46094238545086275</v>
      </c>
      <c r="N354" s="55">
        <f>N350-N372</f>
        <v>2.6958930601211284</v>
      </c>
      <c r="O354" s="55">
        <f>O350-O372</f>
        <v>-0.3138803256077194</v>
      </c>
      <c r="P354" s="55">
        <f>P350-P372</f>
        <v>-1.9081446970131213</v>
      </c>
      <c r="Q354" s="55">
        <f>Q350-Q372</f>
        <v>-1.7834765362368679</v>
      </c>
      <c r="R354" s="55">
        <f>R350-R372</f>
        <v>-3.893320672816402</v>
      </c>
      <c r="S354" s="55">
        <f>S350-S372</f>
        <v>-4.477994146818583</v>
      </c>
      <c r="T354" s="55">
        <f>T350-T372</f>
        <v>-1.4006874349226397</v>
      </c>
      <c r="U354" s="55">
        <f>U350-U372</f>
        <v>1.5425424967403893</v>
      </c>
      <c r="V354" s="55">
        <f>V350-V372</f>
        <v>0.814937495909266</v>
      </c>
      <c r="W354" s="55">
        <f>W350-W372</f>
        <v>-0.9956876506205525</v>
      </c>
      <c r="X354" s="55">
        <f>X350-X372</f>
        <v>-0.1377268961442415</v>
      </c>
      <c r="Y354" s="55">
        <f>Y350-Y372</f>
        <v>1.0177913248066965</v>
      </c>
      <c r="Z354" s="55">
        <f>Z350-Z372</f>
        <v>2.756980856416397</v>
      </c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  <c r="AZ354" s="111"/>
      <c r="BA354" s="111"/>
      <c r="BB354" s="111"/>
      <c r="BC354" s="111"/>
      <c r="BD354" s="111"/>
      <c r="BE354" s="111"/>
      <c r="BF354" s="111"/>
      <c r="BG354" s="111"/>
      <c r="BH354" s="111"/>
      <c r="BI354" s="111"/>
      <c r="BJ354" s="111"/>
      <c r="BK354" s="111"/>
      <c r="BL354" s="111"/>
      <c r="BM354" s="111"/>
      <c r="BN354" s="111"/>
      <c r="BO354" s="111"/>
      <c r="BP354" s="111"/>
      <c r="BQ354" s="111"/>
      <c r="BR354" s="111"/>
      <c r="BS354" s="111"/>
      <c r="BT354" s="111"/>
      <c r="BU354" s="111"/>
      <c r="BV354" s="111"/>
      <c r="BW354" s="111"/>
      <c r="BX354" s="111"/>
      <c r="BY354" s="111"/>
      <c r="BZ354" s="111"/>
      <c r="CA354" s="111"/>
      <c r="CB354" s="111"/>
      <c r="CC354" s="111"/>
      <c r="CD354" s="111"/>
      <c r="CE354" s="111"/>
      <c r="CF354" s="111"/>
      <c r="CG354" s="111"/>
      <c r="CH354" s="111"/>
      <c r="CI354" s="111"/>
      <c r="CJ354" s="111"/>
      <c r="CK354" s="111"/>
      <c r="CL354" s="111"/>
      <c r="CM354" s="111"/>
      <c r="CN354" s="111"/>
      <c r="CO354" s="111"/>
      <c r="CP354" s="111"/>
      <c r="CQ354" s="111"/>
      <c r="CR354" s="111"/>
      <c r="CS354" s="111"/>
      <c r="CT354" s="111"/>
      <c r="CU354" s="111"/>
      <c r="CV354" s="111"/>
      <c r="CW354" s="111"/>
      <c r="CX354" s="111"/>
      <c r="CY354" s="111"/>
      <c r="CZ354" s="111"/>
      <c r="DA354" s="111"/>
      <c r="DB354" s="111"/>
      <c r="DC354" s="111"/>
      <c r="DD354" s="111"/>
      <c r="DE354" s="111"/>
      <c r="DF354" s="111"/>
      <c r="DG354" s="111"/>
      <c r="DH354" s="111"/>
      <c r="DI354" s="111"/>
      <c r="DJ354" s="111"/>
      <c r="DK354" s="111"/>
      <c r="DL354" s="111"/>
      <c r="DM354" s="111"/>
      <c r="DN354" s="111"/>
      <c r="DO354" s="111"/>
      <c r="DP354" s="111"/>
      <c r="DQ354" s="111"/>
      <c r="DR354" s="111"/>
      <c r="DS354" s="111"/>
      <c r="DT354" s="111"/>
      <c r="DU354" s="111"/>
      <c r="DV354" s="111"/>
      <c r="DW354" s="111"/>
      <c r="DX354" s="111"/>
      <c r="DY354" s="111"/>
      <c r="DZ354" s="111"/>
      <c r="EA354" s="111"/>
      <c r="EB354" s="111"/>
      <c r="EC354" s="111"/>
      <c r="ED354" s="111"/>
      <c r="EE354" s="111"/>
      <c r="EF354" s="111"/>
      <c r="EG354" s="111"/>
      <c r="EH354" s="111"/>
      <c r="EI354" s="111"/>
      <c r="EJ354" s="111"/>
      <c r="EK354" s="111"/>
      <c r="EL354" s="111"/>
      <c r="EM354" s="111"/>
      <c r="EN354" s="111"/>
      <c r="EO354" s="111"/>
      <c r="EP354" s="111"/>
      <c r="EQ354" s="111"/>
      <c r="ER354" s="111"/>
      <c r="ES354" s="111"/>
      <c r="ET354" s="111"/>
      <c r="EU354" s="111"/>
      <c r="EV354" s="111"/>
      <c r="EW354" s="111"/>
      <c r="EX354" s="111"/>
      <c r="EY354" s="111"/>
      <c r="EZ354" s="111"/>
      <c r="FA354" s="111"/>
      <c r="FB354" s="111"/>
      <c r="FC354" s="111"/>
      <c r="FD354" s="111"/>
      <c r="FE354" s="111"/>
      <c r="FF354" s="111"/>
      <c r="FG354" s="111"/>
      <c r="FH354" s="111"/>
      <c r="FI354" s="111"/>
      <c r="FJ354" s="111"/>
      <c r="FK354" s="111"/>
      <c r="FL354" s="111"/>
      <c r="FM354" s="111"/>
      <c r="FN354" s="111"/>
      <c r="FO354" s="111"/>
      <c r="FP354" s="111"/>
      <c r="FQ354" s="111"/>
      <c r="FR354" s="111"/>
      <c r="FS354" s="111"/>
      <c r="FT354" s="111"/>
      <c r="FU354" s="111"/>
      <c r="FV354" s="111"/>
      <c r="FW354" s="111"/>
      <c r="FX354" s="111"/>
      <c r="FY354" s="111"/>
      <c r="FZ354" s="111"/>
      <c r="GA354" s="111"/>
      <c r="GB354" s="111"/>
      <c r="GC354" s="111"/>
      <c r="GD354" s="111"/>
      <c r="GE354" s="111"/>
      <c r="GF354" s="111"/>
      <c r="GG354" s="111"/>
      <c r="GH354" s="111"/>
      <c r="GI354" s="111"/>
      <c r="GJ354" s="111"/>
      <c r="GK354" s="111"/>
      <c r="GL354" s="111"/>
      <c r="GM354" s="111"/>
      <c r="GN354" s="111"/>
      <c r="GO354" s="111"/>
      <c r="GP354" s="111"/>
      <c r="GQ354" s="111"/>
      <c r="GR354" s="111"/>
      <c r="GS354" s="111"/>
      <c r="GT354" s="111"/>
      <c r="GU354" s="111"/>
      <c r="GV354" s="111"/>
      <c r="GW354" s="111"/>
      <c r="GX354" s="111"/>
      <c r="GY354" s="111"/>
      <c r="GZ354" s="111"/>
      <c r="HA354" s="111"/>
      <c r="HB354" s="111"/>
      <c r="HC354" s="111"/>
      <c r="HD354" s="111"/>
      <c r="HE354" s="111"/>
      <c r="HF354" s="111"/>
      <c r="HG354" s="111"/>
      <c r="HH354" s="111"/>
      <c r="HI354" s="111"/>
      <c r="HJ354" s="111"/>
      <c r="HK354" s="111"/>
      <c r="HL354" s="111"/>
      <c r="HM354" s="111"/>
      <c r="HN354" s="111"/>
      <c r="HO354" s="111"/>
      <c r="HP354" s="111"/>
      <c r="HQ354" s="111"/>
      <c r="HR354" s="111"/>
      <c r="HS354" s="111"/>
      <c r="HT354" s="111"/>
      <c r="HU354" s="111"/>
      <c r="HV354" s="111"/>
      <c r="HW354" s="111"/>
      <c r="HX354" s="111"/>
      <c r="HY354" s="111"/>
      <c r="HZ354" s="111"/>
      <c r="IA354" s="111"/>
      <c r="IB354" s="111"/>
      <c r="IC354" s="111"/>
      <c r="ID354" s="111"/>
      <c r="IE354" s="111"/>
      <c r="IF354" s="111"/>
      <c r="IG354" s="111"/>
      <c r="IH354" s="111"/>
      <c r="II354" s="111"/>
      <c r="IJ354" s="111"/>
      <c r="IK354" s="111"/>
      <c r="IL354" s="111"/>
      <c r="IM354" s="111"/>
      <c r="IN354" s="111"/>
      <c r="IO354" s="111"/>
      <c r="IP354" s="111"/>
      <c r="IQ354" s="111"/>
      <c r="IR354" s="111"/>
      <c r="IS354" s="111"/>
      <c r="IT354" s="111"/>
      <c r="IU354" s="111"/>
      <c r="IV354" s="111"/>
    </row>
    <row r="355" spans="1:256" s="112" customFormat="1" ht="12.75">
      <c r="A355" s="53" t="s">
        <v>430</v>
      </c>
      <c r="B355" s="55">
        <f>B351-B373</f>
        <v>-41.10637748763877</v>
      </c>
      <c r="C355" s="55">
        <f>C351-C373</f>
        <v>-36.64187558420779</v>
      </c>
      <c r="D355" s="55">
        <f>D351-D373</f>
        <v>-73.00713602185375</v>
      </c>
      <c r="E355" s="55">
        <f>E351-E373</f>
        <v>-57.25262294406669</v>
      </c>
      <c r="F355" s="55">
        <f>F351-F373</f>
        <v>-56.59936180047084</v>
      </c>
      <c r="G355" s="55">
        <f>G351-G373</f>
        <v>-64.59200935823156</v>
      </c>
      <c r="H355" s="55">
        <f>H351-H373</f>
        <v>-42.46301773752755</v>
      </c>
      <c r="I355" s="55">
        <f>I351-I373</f>
        <v>-44.8998380913534</v>
      </c>
      <c r="J355" s="55">
        <f>J351-J373</f>
        <v>-45.19536643691273</v>
      </c>
      <c r="K355" s="55">
        <f>K351-K373</f>
        <v>-45.94701945860354</v>
      </c>
      <c r="L355" s="55">
        <f>L351-L373</f>
        <v>-46.33402615642649</v>
      </c>
      <c r="M355" s="55">
        <f>M351-M373</f>
        <v>-46.19340121158803</v>
      </c>
      <c r="N355" s="55">
        <f>N351-N373</f>
        <v>-46.587501284222945</v>
      </c>
      <c r="O355" s="55">
        <f>O351-O373</f>
        <v>-47.98740307261706</v>
      </c>
      <c r="P355" s="55">
        <f>P351-P373</f>
        <v>-49.27343058711512</v>
      </c>
      <c r="Q355" s="55">
        <f>Q351-Q373</f>
        <v>-49.14331760845878</v>
      </c>
      <c r="R355" s="55">
        <f>R351-R373</f>
        <v>-47.7824733263007</v>
      </c>
      <c r="S355" s="55">
        <f>S351-S373</f>
        <v>-46.542219546000496</v>
      </c>
      <c r="T355" s="55">
        <f>T351-T373</f>
        <v>-46.19448075243954</v>
      </c>
      <c r="U355" s="55">
        <f>U351-U373</f>
        <v>-46.16219633020533</v>
      </c>
      <c r="V355" s="55">
        <f>V351-V373</f>
        <v>-45.705071156208035</v>
      </c>
      <c r="W355" s="55">
        <f>W351-W373</f>
        <v>-44.98052215318045</v>
      </c>
      <c r="X355" s="55">
        <f>X351-X373</f>
        <v>-44.14267314574124</v>
      </c>
      <c r="Y355" s="55">
        <f>Y351-Y373</f>
        <v>-42.62830583751036</v>
      </c>
      <c r="Z355" s="55">
        <f>Z351-Z373</f>
        <v>-40.94971835999607</v>
      </c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  <c r="AZ355" s="111"/>
      <c r="BA355" s="111"/>
      <c r="BB355" s="111"/>
      <c r="BC355" s="111"/>
      <c r="BD355" s="111"/>
      <c r="BE355" s="111"/>
      <c r="BF355" s="111"/>
      <c r="BG355" s="111"/>
      <c r="BH355" s="111"/>
      <c r="BI355" s="111"/>
      <c r="BJ355" s="111"/>
      <c r="BK355" s="111"/>
      <c r="BL355" s="111"/>
      <c r="BM355" s="111"/>
      <c r="BN355" s="111"/>
      <c r="BO355" s="111"/>
      <c r="BP355" s="111"/>
      <c r="BQ355" s="111"/>
      <c r="BR355" s="111"/>
      <c r="BS355" s="111"/>
      <c r="BT355" s="111"/>
      <c r="BU355" s="111"/>
      <c r="BV355" s="111"/>
      <c r="BW355" s="111"/>
      <c r="BX355" s="111"/>
      <c r="BY355" s="111"/>
      <c r="BZ355" s="111"/>
      <c r="CA355" s="111"/>
      <c r="CB355" s="111"/>
      <c r="CC355" s="111"/>
      <c r="CD355" s="111"/>
      <c r="CE355" s="111"/>
      <c r="CF355" s="111"/>
      <c r="CG355" s="111"/>
      <c r="CH355" s="111"/>
      <c r="CI355" s="111"/>
      <c r="CJ355" s="111"/>
      <c r="CK355" s="111"/>
      <c r="CL355" s="111"/>
      <c r="CM355" s="111"/>
      <c r="CN355" s="111"/>
      <c r="CO355" s="111"/>
      <c r="CP355" s="111"/>
      <c r="CQ355" s="111"/>
      <c r="CR355" s="111"/>
      <c r="CS355" s="111"/>
      <c r="CT355" s="111"/>
      <c r="CU355" s="111"/>
      <c r="CV355" s="111"/>
      <c r="CW355" s="111"/>
      <c r="CX355" s="111"/>
      <c r="CY355" s="111"/>
      <c r="CZ355" s="111"/>
      <c r="DA355" s="111"/>
      <c r="DB355" s="111"/>
      <c r="DC355" s="111"/>
      <c r="DD355" s="111"/>
      <c r="DE355" s="111"/>
      <c r="DF355" s="111"/>
      <c r="DG355" s="111"/>
      <c r="DH355" s="111"/>
      <c r="DI355" s="111"/>
      <c r="DJ355" s="111"/>
      <c r="DK355" s="111"/>
      <c r="DL355" s="111"/>
      <c r="DM355" s="111"/>
      <c r="DN355" s="111"/>
      <c r="DO355" s="111"/>
      <c r="DP355" s="111"/>
      <c r="DQ355" s="111"/>
      <c r="DR355" s="111"/>
      <c r="DS355" s="111"/>
      <c r="DT355" s="111"/>
      <c r="DU355" s="111"/>
      <c r="DV355" s="111"/>
      <c r="DW355" s="111"/>
      <c r="DX355" s="111"/>
      <c r="DY355" s="111"/>
      <c r="DZ355" s="111"/>
      <c r="EA355" s="111"/>
      <c r="EB355" s="111"/>
      <c r="EC355" s="111"/>
      <c r="ED355" s="111"/>
      <c r="EE355" s="111"/>
      <c r="EF355" s="111"/>
      <c r="EG355" s="111"/>
      <c r="EH355" s="111"/>
      <c r="EI355" s="111"/>
      <c r="EJ355" s="111"/>
      <c r="EK355" s="111"/>
      <c r="EL355" s="111"/>
      <c r="EM355" s="111"/>
      <c r="EN355" s="111"/>
      <c r="EO355" s="111"/>
      <c r="EP355" s="111"/>
      <c r="EQ355" s="111"/>
      <c r="ER355" s="111"/>
      <c r="ES355" s="111"/>
      <c r="ET355" s="111"/>
      <c r="EU355" s="111"/>
      <c r="EV355" s="111"/>
      <c r="EW355" s="111"/>
      <c r="EX355" s="111"/>
      <c r="EY355" s="111"/>
      <c r="EZ355" s="111"/>
      <c r="FA355" s="111"/>
      <c r="FB355" s="111"/>
      <c r="FC355" s="111"/>
      <c r="FD355" s="111"/>
      <c r="FE355" s="111"/>
      <c r="FF355" s="111"/>
      <c r="FG355" s="111"/>
      <c r="FH355" s="111"/>
      <c r="FI355" s="111"/>
      <c r="FJ355" s="111"/>
      <c r="FK355" s="111"/>
      <c r="FL355" s="111"/>
      <c r="FM355" s="111"/>
      <c r="FN355" s="111"/>
      <c r="FO355" s="111"/>
      <c r="FP355" s="111"/>
      <c r="FQ355" s="111"/>
      <c r="FR355" s="111"/>
      <c r="FS355" s="111"/>
      <c r="FT355" s="111"/>
      <c r="FU355" s="111"/>
      <c r="FV355" s="111"/>
      <c r="FW355" s="111"/>
      <c r="FX355" s="111"/>
      <c r="FY355" s="111"/>
      <c r="FZ355" s="111"/>
      <c r="GA355" s="111"/>
      <c r="GB355" s="111"/>
      <c r="GC355" s="111"/>
      <c r="GD355" s="111"/>
      <c r="GE355" s="111"/>
      <c r="GF355" s="111"/>
      <c r="GG355" s="111"/>
      <c r="GH355" s="111"/>
      <c r="GI355" s="111"/>
      <c r="GJ355" s="111"/>
      <c r="GK355" s="111"/>
      <c r="GL355" s="111"/>
      <c r="GM355" s="111"/>
      <c r="GN355" s="111"/>
      <c r="GO355" s="111"/>
      <c r="GP355" s="111"/>
      <c r="GQ355" s="111"/>
      <c r="GR355" s="111"/>
      <c r="GS355" s="111"/>
      <c r="GT355" s="111"/>
      <c r="GU355" s="111"/>
      <c r="GV355" s="111"/>
      <c r="GW355" s="111"/>
      <c r="GX355" s="111"/>
      <c r="GY355" s="111"/>
      <c r="GZ355" s="111"/>
      <c r="HA355" s="111"/>
      <c r="HB355" s="111"/>
      <c r="HC355" s="111"/>
      <c r="HD355" s="111"/>
      <c r="HE355" s="111"/>
      <c r="HF355" s="111"/>
      <c r="HG355" s="111"/>
      <c r="HH355" s="111"/>
      <c r="HI355" s="111"/>
      <c r="HJ355" s="111"/>
      <c r="HK355" s="111"/>
      <c r="HL355" s="111"/>
      <c r="HM355" s="111"/>
      <c r="HN355" s="111"/>
      <c r="HO355" s="111"/>
      <c r="HP355" s="111"/>
      <c r="HQ355" s="111"/>
      <c r="HR355" s="111"/>
      <c r="HS355" s="111"/>
      <c r="HT355" s="111"/>
      <c r="HU355" s="111"/>
      <c r="HV355" s="111"/>
      <c r="HW355" s="111"/>
      <c r="HX355" s="111"/>
      <c r="HY355" s="111"/>
      <c r="HZ355" s="111"/>
      <c r="IA355" s="111"/>
      <c r="IB355" s="111"/>
      <c r="IC355" s="111"/>
      <c r="ID355" s="111"/>
      <c r="IE355" s="111"/>
      <c r="IF355" s="111"/>
      <c r="IG355" s="111"/>
      <c r="IH355" s="111"/>
      <c r="II355" s="111"/>
      <c r="IJ355" s="111"/>
      <c r="IK355" s="111"/>
      <c r="IL355" s="111"/>
      <c r="IM355" s="111"/>
      <c r="IN355" s="111"/>
      <c r="IO355" s="111"/>
      <c r="IP355" s="111"/>
      <c r="IQ355" s="111"/>
      <c r="IR355" s="111"/>
      <c r="IS355" s="111"/>
      <c r="IT355" s="111"/>
      <c r="IU355" s="111"/>
      <c r="IV355" s="111"/>
    </row>
    <row r="356" spans="1:26" s="113" customFormat="1" ht="12.75">
      <c r="A356" s="64"/>
      <c r="B356" s="64"/>
      <c r="C356" s="64"/>
      <c r="D356" s="64" t="s">
        <v>414</v>
      </c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56" ht="12.75">
      <c r="A357" t="s">
        <v>342</v>
      </c>
      <c r="B357" s="5">
        <f>B298*B84/((B81-B63)*B83+(B82-B65)*B84)</f>
        <v>2.9359295265274516</v>
      </c>
      <c r="C357" s="5">
        <f>C298*C84/((C81-C63)*C83+(C82-C65)*C84)</f>
        <v>3.6898241665929534</v>
      </c>
      <c r="D357" s="5">
        <f>D298*D84/((D81-D63)*D83+(D82-D65)*D84)</f>
        <v>4.174419750821541</v>
      </c>
      <c r="E357" s="5">
        <f>E298*E84/((E81-E63)*E83+(E82-E65)*E84)</f>
        <v>4.504434539309365</v>
      </c>
      <c r="F357" s="5">
        <f>F298*F84/((F81-F63)*F83+(F82-F65)*F84)</f>
        <v>4.57465751900626</v>
      </c>
      <c r="G357" s="5">
        <f>G298*G84/((G81-G63)*G83+(G82-G65)*G84)</f>
        <v>4.252910985703845</v>
      </c>
      <c r="H357" s="5">
        <f>H298*H84/((H81-H63)*H83+(H82-H65)*H84)</f>
        <v>3.68057122636637</v>
      </c>
      <c r="I357" s="5">
        <f>I298*I84/((I81-I63)*I83+(I82-I65)*I84)</f>
        <v>3.123309852841179</v>
      </c>
      <c r="J357" s="5">
        <f>J298*J84/((J81-J63)*J83+(J82-J65)*J84)</f>
        <v>2.6661736909704645</v>
      </c>
      <c r="K357" s="5">
        <f>K298*K84/((K81-K63)*K83+(K82-K65)*K84)</f>
        <v>2.2568201018826666</v>
      </c>
      <c r="L357" s="5">
        <f>L298*L84/((L81-L63)*L83+(L82-L65)*L84)</f>
        <v>1.9062604822091909</v>
      </c>
      <c r="M357" s="5">
        <f>M298*M84/((M81-M63)*M83+(M82-M65)*M84)</f>
        <v>1.6510680283116441</v>
      </c>
      <c r="N357" s="5">
        <f>N298*N84/((N81-N63)*N83+(N82-N65)*N84)</f>
        <v>1.4265428147647048</v>
      </c>
      <c r="O357" s="5">
        <f>O298*O84/((O81-O63)*O83+(O82-O65)*O84)</f>
        <v>1.1618666749249502</v>
      </c>
      <c r="P357" s="5">
        <f>P298*P84/((P81-P63)*P83+(P82-P65)*P84)</f>
        <v>0.9377768934402426</v>
      </c>
      <c r="Q357" s="5">
        <f>Q298*Q84/((Q81-Q63)*Q83+(Q82-Q65)*Q84)</f>
        <v>0.8953771787890511</v>
      </c>
      <c r="R357" s="5">
        <f>R298*R84/((R81-R63)*R83+(R82-R65)*R84)</f>
        <v>1.019790446240529</v>
      </c>
      <c r="S357" s="5">
        <f>S298*S84/((S81-S63)*S83+(S82-S65)*S84)</f>
        <v>1.14365844037145</v>
      </c>
      <c r="T357" s="5">
        <f>T298*T84/((T81-T63)*T83+(T82-T65)*T84)</f>
        <v>1.1629029743038473</v>
      </c>
      <c r="U357" s="5">
        <f>U298*U84/((U81-U63)*U83+(U82-U65)*U84)</f>
        <v>1.13844316656631</v>
      </c>
      <c r="V357" s="5">
        <f>V298*V84/((V81-V63)*V83+(V82-V65)*V84)</f>
        <v>1.1592513797191595</v>
      </c>
      <c r="W357" s="5">
        <f>W298*W84/((W81-W63)*W83+(W82-W65)*W84)</f>
        <v>1.230669473603735</v>
      </c>
      <c r="X357" s="5">
        <f>X298*X84/((X81-X63)*X83+(X82-X65)*X84)</f>
        <v>1.4321442647900184</v>
      </c>
      <c r="Y357" s="5">
        <f>Y298*Y84/((Y81-Y63)*Y83+(Y82-Y65)*Y84)</f>
        <v>2.021448124781272</v>
      </c>
      <c r="Z357" s="5">
        <f>Z298*Z84/((Z81-Z63)*Z83+(Z82-Z65)*Z84)</f>
        <v>2.9359295265274516</v>
      </c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  <c r="CW357" s="108"/>
      <c r="CX357" s="108"/>
      <c r="CY357" s="108"/>
      <c r="CZ357" s="108"/>
      <c r="DA357" s="108"/>
      <c r="DB357" s="108"/>
      <c r="DC357" s="108"/>
      <c r="DD357" s="108"/>
      <c r="DE357" s="108"/>
      <c r="DF357" s="108"/>
      <c r="DG357" s="108"/>
      <c r="DH357" s="108"/>
      <c r="DI357" s="108"/>
      <c r="DJ357" s="108"/>
      <c r="DK357" s="108"/>
      <c r="DL357" s="108"/>
      <c r="DM357" s="108"/>
      <c r="DN357" s="108"/>
      <c r="DO357" s="108"/>
      <c r="DP357" s="108"/>
      <c r="DQ357" s="108"/>
      <c r="DR357" s="108"/>
      <c r="DS357" s="108"/>
      <c r="DT357" s="108"/>
      <c r="DU357" s="108"/>
      <c r="DV357" s="108"/>
      <c r="DW357" s="108"/>
      <c r="DX357" s="108"/>
      <c r="DY357" s="108"/>
      <c r="DZ357" s="108"/>
      <c r="EA357" s="108"/>
      <c r="EB357" s="108"/>
      <c r="EC357" s="108"/>
      <c r="ED357" s="108"/>
      <c r="EE357" s="108"/>
      <c r="EF357" s="108"/>
      <c r="EG357" s="108"/>
      <c r="EH357" s="108"/>
      <c r="EI357" s="108"/>
      <c r="EJ357" s="108"/>
      <c r="EK357" s="108"/>
      <c r="EL357" s="108"/>
      <c r="EM357" s="108"/>
      <c r="EN357" s="108"/>
      <c r="EO357" s="108"/>
      <c r="EP357" s="108"/>
      <c r="EQ357" s="108"/>
      <c r="ER357" s="108"/>
      <c r="ES357" s="108"/>
      <c r="ET357" s="108"/>
      <c r="EU357" s="108"/>
      <c r="EV357" s="108"/>
      <c r="EW357" s="108"/>
      <c r="EX357" s="108"/>
      <c r="EY357" s="108"/>
      <c r="EZ357" s="108"/>
      <c r="FA357" s="108"/>
      <c r="FB357" s="108"/>
      <c r="FC357" s="108"/>
      <c r="FD357" s="108"/>
      <c r="FE357" s="108"/>
      <c r="FF357" s="108"/>
      <c r="FG357" s="108"/>
      <c r="FH357" s="108"/>
      <c r="FI357" s="108"/>
      <c r="FJ357" s="108"/>
      <c r="FK357" s="108"/>
      <c r="FL357" s="108"/>
      <c r="FM357" s="108"/>
      <c r="FN357" s="108"/>
      <c r="FO357" s="108"/>
      <c r="FP357" s="108"/>
      <c r="FQ357" s="108"/>
      <c r="FR357" s="108"/>
      <c r="FS357" s="108"/>
      <c r="FT357" s="108"/>
      <c r="FU357" s="108"/>
      <c r="FV357" s="108"/>
      <c r="FW357" s="108"/>
      <c r="FX357" s="108"/>
      <c r="FY357" s="108"/>
      <c r="FZ357" s="108"/>
      <c r="GA357" s="108"/>
      <c r="GB357" s="108"/>
      <c r="GC357" s="108"/>
      <c r="GD357" s="108"/>
      <c r="GE357" s="108"/>
      <c r="GF357" s="108"/>
      <c r="GG357" s="108"/>
      <c r="GH357" s="108"/>
      <c r="GI357" s="108"/>
      <c r="GJ357" s="108"/>
      <c r="GK357" s="108"/>
      <c r="GL357" s="108"/>
      <c r="GM357" s="108"/>
      <c r="GN357" s="108"/>
      <c r="GO357" s="108"/>
      <c r="GP357" s="108"/>
      <c r="GQ357" s="108"/>
      <c r="GR357" s="108"/>
      <c r="GS357" s="108"/>
      <c r="GT357" s="108"/>
      <c r="GU357" s="108"/>
      <c r="GV357" s="108"/>
      <c r="GW357" s="108"/>
      <c r="GX357" s="108"/>
      <c r="GY357" s="108"/>
      <c r="GZ357" s="108"/>
      <c r="HA357" s="108"/>
      <c r="HB357" s="108"/>
      <c r="HC357" s="108"/>
      <c r="HD357" s="108"/>
      <c r="HE357" s="108"/>
      <c r="HF357" s="108"/>
      <c r="HG357" s="108"/>
      <c r="HH357" s="108"/>
      <c r="HI357" s="108"/>
      <c r="HJ357" s="108"/>
      <c r="HK357" s="108"/>
      <c r="HL357" s="108"/>
      <c r="HM357" s="108"/>
      <c r="HN357" s="108"/>
      <c r="HO357" s="108"/>
      <c r="HP357" s="108"/>
      <c r="HQ357" s="108"/>
      <c r="HR357" s="108"/>
      <c r="HS357" s="108"/>
      <c r="HT357" s="108"/>
      <c r="HU357" s="108"/>
      <c r="HV357" s="108"/>
      <c r="HW357" s="108"/>
      <c r="HX357" s="108"/>
      <c r="HY357" s="108"/>
      <c r="HZ357" s="108"/>
      <c r="IA357" s="108"/>
      <c r="IB357" s="108"/>
      <c r="IC357" s="108"/>
      <c r="ID357" s="108"/>
      <c r="IE357" s="108"/>
      <c r="IF357" s="108"/>
      <c r="IG357" s="108"/>
      <c r="IH357" s="108"/>
      <c r="II357" s="108"/>
      <c r="IJ357" s="108"/>
      <c r="IK357" s="108"/>
      <c r="IL357" s="108"/>
      <c r="IM357" s="108"/>
      <c r="IN357" s="108"/>
      <c r="IO357" s="108"/>
      <c r="IP357" s="108"/>
      <c r="IQ357" s="108"/>
      <c r="IR357" s="108"/>
      <c r="IS357" s="108"/>
      <c r="IT357" s="108"/>
      <c r="IU357" s="108"/>
      <c r="IV357" s="108"/>
    </row>
    <row r="358" spans="1:256" ht="12.75">
      <c r="A358" t="s">
        <v>343</v>
      </c>
      <c r="B358" s="5">
        <f>-B298*B83/((B81-B63)*B83+(B82-B65)*B84)</f>
        <v>-1.6950597024623948</v>
      </c>
      <c r="C358" s="5">
        <f>-C298*C83/((C81-C63)*C83+(C82-C65)*C84)</f>
        <v>-2.1303209758448305</v>
      </c>
      <c r="D358" s="5">
        <f>-D298*D83/((D81-D63)*D83+(D82-D65)*D84)</f>
        <v>-2.4101023668473087</v>
      </c>
      <c r="E358" s="5">
        <f>-E298*E83/((E81-E63)*E83+(E82-E65)*E84)</f>
        <v>-2.6006364938173125</v>
      </c>
      <c r="F358" s="5">
        <f>-F298*F83/((F81-F63)*F83+(F82-F65)*F84)</f>
        <v>-2.6411797500486114</v>
      </c>
      <c r="G358" s="5">
        <f>-G298*G83/((G81-G63)*G83+(G82-G65)*G84)</f>
        <v>-2.455419302435633</v>
      </c>
      <c r="H358" s="5">
        <f>-H298*H83/((H81-H63)*H83+(H82-H65)*H84)</f>
        <v>-2.1249787883142153</v>
      </c>
      <c r="I358" s="5">
        <f>-I298*I83/((I81-I63)*I83+(I82-I65)*I84)</f>
        <v>-1.803243784300466</v>
      </c>
      <c r="J358" s="5">
        <f>-J298*J83/((J81-J63)*J83+(J82-J65)*J84)</f>
        <v>-1.5393160981880964</v>
      </c>
      <c r="K358" s="5">
        <f>-K298*K83/((K81-K63)*K83+(K82-K65)*K84)</f>
        <v>-1.3029756933345171</v>
      </c>
      <c r="L358" s="5">
        <f>-L298*L83/((L81-L63)*L83+(L82-L65)*L84)</f>
        <v>-1.1005800025490229</v>
      </c>
      <c r="M358" s="5">
        <f>-M298*M83/((M81-M63)*M83+(M82-M65)*M84)</f>
        <v>-0.9532445705961129</v>
      </c>
      <c r="N358" s="5">
        <f>-N298*N83/((N81-N63)*N83+(N82-N65)*N84)</f>
        <v>-0.8236148781149287</v>
      </c>
      <c r="O358" s="5">
        <f>-O298*O83/((O81-O63)*O83+(O82-O65)*O84)</f>
        <v>-0.6708040375303758</v>
      </c>
      <c r="P358" s="5">
        <f>-P298*P83/((P81-P63)*P83+(P82-P65)*P84)</f>
        <v>-0.5414257418675353</v>
      </c>
      <c r="Q358" s="5">
        <f>-Q298*Q83/((Q81-Q63)*Q83+(Q82-Q65)*Q84)</f>
        <v>-0.5169462552001065</v>
      </c>
      <c r="R358" s="5">
        <f>-R298*R83/((R81-R63)*R83+(R82-R65)*R84)</f>
        <v>-0.5887762886539781</v>
      </c>
      <c r="S358" s="5">
        <f>-S298*S83/((S81-S63)*S83+(S82-S65)*S84)</f>
        <v>-0.6602915084094445</v>
      </c>
      <c r="T358" s="5">
        <f>-T298*T83/((T81-T63)*T83+(T82-T65)*T84)</f>
        <v>-0.6714023452557426</v>
      </c>
      <c r="U358" s="5">
        <f>-U298*U83/((U81-U63)*U83+(U82-U65)*U84)</f>
        <v>-0.6572804686741489</v>
      </c>
      <c r="V358" s="5">
        <f>-V298*V83/((V81-V63)*V83+(V82-V65)*V84)</f>
        <v>-0.6692940961393019</v>
      </c>
      <c r="W358" s="5">
        <f>-W298*W83/((W81-W63)*W83+(W82-W65)*W84)</f>
        <v>-0.7105273518685713</v>
      </c>
      <c r="X358" s="5">
        <f>-X298*X83/((X81-X63)*X83+(X82-X65)*X84)</f>
        <v>-0.8268488767948959</v>
      </c>
      <c r="Y358" s="5">
        <f>-Y298*Y83/((Y81-Y63)*Y83+(Y82-Y65)*Y84)</f>
        <v>-1.1670836189953318</v>
      </c>
      <c r="Z358" s="5">
        <f>-Z298*Z83/((Z81-Z63)*Z83+(Z82-Z65)*Z84)</f>
        <v>-1.695059702462395</v>
      </c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  <c r="CW358" s="108"/>
      <c r="CX358" s="108"/>
      <c r="CY358" s="108"/>
      <c r="CZ358" s="108"/>
      <c r="DA358" s="108"/>
      <c r="DB358" s="108"/>
      <c r="DC358" s="108"/>
      <c r="DD358" s="108"/>
      <c r="DE358" s="108"/>
      <c r="DF358" s="108"/>
      <c r="DG358" s="108"/>
      <c r="DH358" s="108"/>
      <c r="DI358" s="108"/>
      <c r="DJ358" s="108"/>
      <c r="DK358" s="108"/>
      <c r="DL358" s="108"/>
      <c r="DM358" s="108"/>
      <c r="DN358" s="108"/>
      <c r="DO358" s="108"/>
      <c r="DP358" s="108"/>
      <c r="DQ358" s="108"/>
      <c r="DR358" s="108"/>
      <c r="DS358" s="108"/>
      <c r="DT358" s="108"/>
      <c r="DU358" s="108"/>
      <c r="DV358" s="108"/>
      <c r="DW358" s="108"/>
      <c r="DX358" s="108"/>
      <c r="DY358" s="108"/>
      <c r="DZ358" s="108"/>
      <c r="EA358" s="108"/>
      <c r="EB358" s="108"/>
      <c r="EC358" s="108"/>
      <c r="ED358" s="108"/>
      <c r="EE358" s="108"/>
      <c r="EF358" s="108"/>
      <c r="EG358" s="108"/>
      <c r="EH358" s="108"/>
      <c r="EI358" s="108"/>
      <c r="EJ358" s="108"/>
      <c r="EK358" s="108"/>
      <c r="EL358" s="108"/>
      <c r="EM358" s="108"/>
      <c r="EN358" s="108"/>
      <c r="EO358" s="108"/>
      <c r="EP358" s="108"/>
      <c r="EQ358" s="108"/>
      <c r="ER358" s="108"/>
      <c r="ES358" s="108"/>
      <c r="ET358" s="108"/>
      <c r="EU358" s="108"/>
      <c r="EV358" s="108"/>
      <c r="EW358" s="108"/>
      <c r="EX358" s="108"/>
      <c r="EY358" s="108"/>
      <c r="EZ358" s="108"/>
      <c r="FA358" s="108"/>
      <c r="FB358" s="108"/>
      <c r="FC358" s="108"/>
      <c r="FD358" s="108"/>
      <c r="FE358" s="108"/>
      <c r="FF358" s="108"/>
      <c r="FG358" s="108"/>
      <c r="FH358" s="108"/>
      <c r="FI358" s="108"/>
      <c r="FJ358" s="108"/>
      <c r="FK358" s="108"/>
      <c r="FL358" s="108"/>
      <c r="FM358" s="108"/>
      <c r="FN358" s="108"/>
      <c r="FO358" s="108"/>
      <c r="FP358" s="108"/>
      <c r="FQ358" s="108"/>
      <c r="FR358" s="108"/>
      <c r="FS358" s="108"/>
      <c r="FT358" s="108"/>
      <c r="FU358" s="108"/>
      <c r="FV358" s="108"/>
      <c r="FW358" s="108"/>
      <c r="FX358" s="108"/>
      <c r="FY358" s="108"/>
      <c r="FZ358" s="108"/>
      <c r="GA358" s="108"/>
      <c r="GB358" s="108"/>
      <c r="GC358" s="108"/>
      <c r="GD358" s="108"/>
      <c r="GE358" s="108"/>
      <c r="GF358" s="108"/>
      <c r="GG358" s="108"/>
      <c r="GH358" s="108"/>
      <c r="GI358" s="108"/>
      <c r="GJ358" s="108"/>
      <c r="GK358" s="108"/>
      <c r="GL358" s="108"/>
      <c r="GM358" s="108"/>
      <c r="GN358" s="108"/>
      <c r="GO358" s="108"/>
      <c r="GP358" s="108"/>
      <c r="GQ358" s="108"/>
      <c r="GR358" s="108"/>
      <c r="GS358" s="108"/>
      <c r="GT358" s="108"/>
      <c r="GU358" s="108"/>
      <c r="GV358" s="108"/>
      <c r="GW358" s="108"/>
      <c r="GX358" s="108"/>
      <c r="GY358" s="108"/>
      <c r="GZ358" s="108"/>
      <c r="HA358" s="108"/>
      <c r="HB358" s="108"/>
      <c r="HC358" s="108"/>
      <c r="HD358" s="108"/>
      <c r="HE358" s="108"/>
      <c r="HF358" s="108"/>
      <c r="HG358" s="108"/>
      <c r="HH358" s="108"/>
      <c r="HI358" s="108"/>
      <c r="HJ358" s="108"/>
      <c r="HK358" s="108"/>
      <c r="HL358" s="108"/>
      <c r="HM358" s="108"/>
      <c r="HN358" s="108"/>
      <c r="HO358" s="108"/>
      <c r="HP358" s="108"/>
      <c r="HQ358" s="108"/>
      <c r="HR358" s="108"/>
      <c r="HS358" s="108"/>
      <c r="HT358" s="108"/>
      <c r="HU358" s="108"/>
      <c r="HV358" s="108"/>
      <c r="HW358" s="108"/>
      <c r="HX358" s="108"/>
      <c r="HY358" s="108"/>
      <c r="HZ358" s="108"/>
      <c r="IA358" s="108"/>
      <c r="IB358" s="108"/>
      <c r="IC358" s="108"/>
      <c r="ID358" s="108"/>
      <c r="IE358" s="108"/>
      <c r="IF358" s="108"/>
      <c r="IG358" s="108"/>
      <c r="IH358" s="108"/>
      <c r="II358" s="108"/>
      <c r="IJ358" s="108"/>
      <c r="IK358" s="108"/>
      <c r="IL358" s="108"/>
      <c r="IM358" s="108"/>
      <c r="IN358" s="108"/>
      <c r="IO358" s="108"/>
      <c r="IP358" s="108"/>
      <c r="IQ358" s="108"/>
      <c r="IR358" s="108"/>
      <c r="IS358" s="108"/>
      <c r="IT358" s="108"/>
      <c r="IU358" s="108"/>
      <c r="IV358" s="108"/>
    </row>
    <row r="359" spans="1:256" ht="12.75">
      <c r="A359" t="s">
        <v>412</v>
      </c>
      <c r="B359" s="5">
        <f>-B357</f>
        <v>-2.9359295265274516</v>
      </c>
      <c r="C359" s="5">
        <f>-C357</f>
        <v>-3.6898241665929534</v>
      </c>
      <c r="D359" s="5">
        <f>-D357</f>
        <v>-4.174419750821541</v>
      </c>
      <c r="E359" s="5">
        <f>-E357</f>
        <v>-4.504434539309365</v>
      </c>
      <c r="F359" s="5">
        <f>-F357</f>
        <v>-4.57465751900626</v>
      </c>
      <c r="G359" s="5">
        <f>-G357</f>
        <v>-4.252910985703845</v>
      </c>
      <c r="H359" s="5">
        <f>-H357</f>
        <v>-3.68057122636637</v>
      </c>
      <c r="I359" s="5">
        <f>-I357</f>
        <v>-3.123309852841179</v>
      </c>
      <c r="J359" s="5">
        <f>-J357</f>
        <v>-2.6661736909704645</v>
      </c>
      <c r="K359" s="5">
        <f>-K357</f>
        <v>-2.2568201018826666</v>
      </c>
      <c r="L359" s="5">
        <f>-L357</f>
        <v>-1.9062604822091909</v>
      </c>
      <c r="M359" s="5">
        <f>-M357</f>
        <v>-1.6510680283116441</v>
      </c>
      <c r="N359" s="5">
        <f>-N357</f>
        <v>-1.4265428147647048</v>
      </c>
      <c r="O359" s="5">
        <f>-O357</f>
        <v>-1.1618666749249502</v>
      </c>
      <c r="P359" s="5">
        <f>-P357</f>
        <v>-0.9377768934402426</v>
      </c>
      <c r="Q359" s="5">
        <f>-Q357</f>
        <v>-0.8953771787890511</v>
      </c>
      <c r="R359" s="5">
        <f>-R357</f>
        <v>-1.019790446240529</v>
      </c>
      <c r="S359" s="5">
        <f>-S357</f>
        <v>-1.14365844037145</v>
      </c>
      <c r="T359" s="5">
        <f>-T357</f>
        <v>-1.1629029743038473</v>
      </c>
      <c r="U359" s="5">
        <f>-U357</f>
        <v>-1.13844316656631</v>
      </c>
      <c r="V359" s="5">
        <f>-V357</f>
        <v>-1.1592513797191595</v>
      </c>
      <c r="W359" s="5">
        <f>-W357</f>
        <v>-1.230669473603735</v>
      </c>
      <c r="X359" s="5">
        <f>-X357</f>
        <v>-1.4321442647900184</v>
      </c>
      <c r="Y359" s="5">
        <f>-Y357</f>
        <v>-2.021448124781272</v>
      </c>
      <c r="Z359" s="5">
        <f>-Z357</f>
        <v>-2.9359295265274516</v>
      </c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  <c r="CW359" s="108"/>
      <c r="CX359" s="108"/>
      <c r="CY359" s="108"/>
      <c r="CZ359" s="108"/>
      <c r="DA359" s="108"/>
      <c r="DB359" s="108"/>
      <c r="DC359" s="108"/>
      <c r="DD359" s="108"/>
      <c r="DE359" s="108"/>
      <c r="DF359" s="108"/>
      <c r="DG359" s="108"/>
      <c r="DH359" s="108"/>
      <c r="DI359" s="108"/>
      <c r="DJ359" s="108"/>
      <c r="DK359" s="108"/>
      <c r="DL359" s="108"/>
      <c r="DM359" s="108"/>
      <c r="DN359" s="108"/>
      <c r="DO359" s="108"/>
      <c r="DP359" s="108"/>
      <c r="DQ359" s="108"/>
      <c r="DR359" s="108"/>
      <c r="DS359" s="108"/>
      <c r="DT359" s="108"/>
      <c r="DU359" s="108"/>
      <c r="DV359" s="108"/>
      <c r="DW359" s="108"/>
      <c r="DX359" s="108"/>
      <c r="DY359" s="108"/>
      <c r="DZ359" s="108"/>
      <c r="EA359" s="108"/>
      <c r="EB359" s="108"/>
      <c r="EC359" s="108"/>
      <c r="ED359" s="108"/>
      <c r="EE359" s="108"/>
      <c r="EF359" s="108"/>
      <c r="EG359" s="108"/>
      <c r="EH359" s="108"/>
      <c r="EI359" s="108"/>
      <c r="EJ359" s="108"/>
      <c r="EK359" s="108"/>
      <c r="EL359" s="108"/>
      <c r="EM359" s="108"/>
      <c r="EN359" s="108"/>
      <c r="EO359" s="108"/>
      <c r="EP359" s="108"/>
      <c r="EQ359" s="108"/>
      <c r="ER359" s="108"/>
      <c r="ES359" s="108"/>
      <c r="ET359" s="108"/>
      <c r="EU359" s="108"/>
      <c r="EV359" s="108"/>
      <c r="EW359" s="108"/>
      <c r="EX359" s="108"/>
      <c r="EY359" s="108"/>
      <c r="EZ359" s="108"/>
      <c r="FA359" s="108"/>
      <c r="FB359" s="108"/>
      <c r="FC359" s="108"/>
      <c r="FD359" s="108"/>
      <c r="FE359" s="108"/>
      <c r="FF359" s="108"/>
      <c r="FG359" s="108"/>
      <c r="FH359" s="108"/>
      <c r="FI359" s="108"/>
      <c r="FJ359" s="108"/>
      <c r="FK359" s="108"/>
      <c r="FL359" s="108"/>
      <c r="FM359" s="108"/>
      <c r="FN359" s="108"/>
      <c r="FO359" s="108"/>
      <c r="FP359" s="108"/>
      <c r="FQ359" s="108"/>
      <c r="FR359" s="108"/>
      <c r="FS359" s="108"/>
      <c r="FT359" s="108"/>
      <c r="FU359" s="108"/>
      <c r="FV359" s="108"/>
      <c r="FW359" s="108"/>
      <c r="FX359" s="108"/>
      <c r="FY359" s="108"/>
      <c r="FZ359" s="108"/>
      <c r="GA359" s="108"/>
      <c r="GB359" s="108"/>
      <c r="GC359" s="108"/>
      <c r="GD359" s="108"/>
      <c r="GE359" s="108"/>
      <c r="GF359" s="108"/>
      <c r="GG359" s="108"/>
      <c r="GH359" s="108"/>
      <c r="GI359" s="108"/>
      <c r="GJ359" s="108"/>
      <c r="GK359" s="108"/>
      <c r="GL359" s="108"/>
      <c r="GM359" s="108"/>
      <c r="GN359" s="108"/>
      <c r="GO359" s="108"/>
      <c r="GP359" s="108"/>
      <c r="GQ359" s="108"/>
      <c r="GR359" s="108"/>
      <c r="GS359" s="108"/>
      <c r="GT359" s="108"/>
      <c r="GU359" s="108"/>
      <c r="GV359" s="108"/>
      <c r="GW359" s="108"/>
      <c r="GX359" s="108"/>
      <c r="GY359" s="108"/>
      <c r="GZ359" s="108"/>
      <c r="HA359" s="108"/>
      <c r="HB359" s="108"/>
      <c r="HC359" s="108"/>
      <c r="HD359" s="108"/>
      <c r="HE359" s="108"/>
      <c r="HF359" s="108"/>
      <c r="HG359" s="108"/>
      <c r="HH359" s="108"/>
      <c r="HI359" s="108"/>
      <c r="HJ359" s="108"/>
      <c r="HK359" s="108"/>
      <c r="HL359" s="108"/>
      <c r="HM359" s="108"/>
      <c r="HN359" s="108"/>
      <c r="HO359" s="108"/>
      <c r="HP359" s="108"/>
      <c r="HQ359" s="108"/>
      <c r="HR359" s="108"/>
      <c r="HS359" s="108"/>
      <c r="HT359" s="108"/>
      <c r="HU359" s="108"/>
      <c r="HV359" s="108"/>
      <c r="HW359" s="108"/>
      <c r="HX359" s="108"/>
      <c r="HY359" s="108"/>
      <c r="HZ359" s="108"/>
      <c r="IA359" s="108"/>
      <c r="IB359" s="108"/>
      <c r="IC359" s="108"/>
      <c r="ID359" s="108"/>
      <c r="IE359" s="108"/>
      <c r="IF359" s="108"/>
      <c r="IG359" s="108"/>
      <c r="IH359" s="108"/>
      <c r="II359" s="108"/>
      <c r="IJ359" s="108"/>
      <c r="IK359" s="108"/>
      <c r="IL359" s="108"/>
      <c r="IM359" s="108"/>
      <c r="IN359" s="108"/>
      <c r="IO359" s="108"/>
      <c r="IP359" s="108"/>
      <c r="IQ359" s="108"/>
      <c r="IR359" s="108"/>
      <c r="IS359" s="108"/>
      <c r="IT359" s="108"/>
      <c r="IU359" s="108"/>
      <c r="IV359" s="108"/>
    </row>
    <row r="360" spans="1:256" ht="12.75">
      <c r="A360" t="s">
        <v>413</v>
      </c>
      <c r="B360" s="5">
        <f>-B358</f>
        <v>1.6950597024623948</v>
      </c>
      <c r="C360" s="5">
        <f>-C358</f>
        <v>2.1303209758448305</v>
      </c>
      <c r="D360" s="5">
        <f>-D358</f>
        <v>2.4101023668473087</v>
      </c>
      <c r="E360" s="5">
        <f>-E358</f>
        <v>2.6006364938173125</v>
      </c>
      <c r="F360" s="5">
        <f>-F358</f>
        <v>2.6411797500486114</v>
      </c>
      <c r="G360" s="5">
        <f>-G358</f>
        <v>2.455419302435633</v>
      </c>
      <c r="H360" s="5">
        <f>-H358</f>
        <v>2.1249787883142153</v>
      </c>
      <c r="I360" s="5">
        <f>-I358</f>
        <v>1.803243784300466</v>
      </c>
      <c r="J360" s="5">
        <f>-J358</f>
        <v>1.5393160981880964</v>
      </c>
      <c r="K360" s="5">
        <f>-K358</f>
        <v>1.3029756933345171</v>
      </c>
      <c r="L360" s="5">
        <f>-L358</f>
        <v>1.1005800025490229</v>
      </c>
      <c r="M360" s="5">
        <f>-M358</f>
        <v>0.9532445705961129</v>
      </c>
      <c r="N360" s="5">
        <f>-N358</f>
        <v>0.8236148781149287</v>
      </c>
      <c r="O360" s="5">
        <f>-O358</f>
        <v>0.6708040375303758</v>
      </c>
      <c r="P360" s="5">
        <f>-P358</f>
        <v>0.5414257418675353</v>
      </c>
      <c r="Q360" s="5">
        <f>-Q358</f>
        <v>0.5169462552001065</v>
      </c>
      <c r="R360" s="5">
        <f>-R358</f>
        <v>0.5887762886539781</v>
      </c>
      <c r="S360" s="5">
        <f>-S358</f>
        <v>0.6602915084094445</v>
      </c>
      <c r="T360" s="5">
        <f>-T358</f>
        <v>0.6714023452557426</v>
      </c>
      <c r="U360" s="5">
        <f>-U358</f>
        <v>0.6572804686741489</v>
      </c>
      <c r="V360" s="5">
        <f>-V358</f>
        <v>0.6692940961393019</v>
      </c>
      <c r="W360" s="5">
        <f>-W358</f>
        <v>0.7105273518685713</v>
      </c>
      <c r="X360" s="5">
        <f>-X358</f>
        <v>0.8268488767948959</v>
      </c>
      <c r="Y360" s="5">
        <f>-Y358</f>
        <v>1.1670836189953318</v>
      </c>
      <c r="Z360" s="5">
        <f>-Z358</f>
        <v>1.695059702462395</v>
      </c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  <c r="CW360" s="108"/>
      <c r="CX360" s="108"/>
      <c r="CY360" s="108"/>
      <c r="CZ360" s="108"/>
      <c r="DA360" s="108"/>
      <c r="DB360" s="108"/>
      <c r="DC360" s="108"/>
      <c r="DD360" s="108"/>
      <c r="DE360" s="108"/>
      <c r="DF360" s="108"/>
      <c r="DG360" s="108"/>
      <c r="DH360" s="108"/>
      <c r="DI360" s="108"/>
      <c r="DJ360" s="108"/>
      <c r="DK360" s="108"/>
      <c r="DL360" s="108"/>
      <c r="DM360" s="108"/>
      <c r="DN360" s="108"/>
      <c r="DO360" s="108"/>
      <c r="DP360" s="108"/>
      <c r="DQ360" s="108"/>
      <c r="DR360" s="108"/>
      <c r="DS360" s="108"/>
      <c r="DT360" s="108"/>
      <c r="DU360" s="108"/>
      <c r="DV360" s="108"/>
      <c r="DW360" s="108"/>
      <c r="DX360" s="108"/>
      <c r="DY360" s="108"/>
      <c r="DZ360" s="108"/>
      <c r="EA360" s="108"/>
      <c r="EB360" s="108"/>
      <c r="EC360" s="108"/>
      <c r="ED360" s="108"/>
      <c r="EE360" s="108"/>
      <c r="EF360" s="108"/>
      <c r="EG360" s="108"/>
      <c r="EH360" s="108"/>
      <c r="EI360" s="108"/>
      <c r="EJ360" s="108"/>
      <c r="EK360" s="108"/>
      <c r="EL360" s="108"/>
      <c r="EM360" s="108"/>
      <c r="EN360" s="108"/>
      <c r="EO360" s="108"/>
      <c r="EP360" s="108"/>
      <c r="EQ360" s="108"/>
      <c r="ER360" s="108"/>
      <c r="ES360" s="108"/>
      <c r="ET360" s="108"/>
      <c r="EU360" s="108"/>
      <c r="EV360" s="108"/>
      <c r="EW360" s="108"/>
      <c r="EX360" s="108"/>
      <c r="EY360" s="108"/>
      <c r="EZ360" s="108"/>
      <c r="FA360" s="108"/>
      <c r="FB360" s="108"/>
      <c r="FC360" s="108"/>
      <c r="FD360" s="108"/>
      <c r="FE360" s="108"/>
      <c r="FF360" s="108"/>
      <c r="FG360" s="108"/>
      <c r="FH360" s="108"/>
      <c r="FI360" s="108"/>
      <c r="FJ360" s="108"/>
      <c r="FK360" s="108"/>
      <c r="FL360" s="108"/>
      <c r="FM360" s="108"/>
      <c r="FN360" s="108"/>
      <c r="FO360" s="108"/>
      <c r="FP360" s="108"/>
      <c r="FQ360" s="108"/>
      <c r="FR360" s="108"/>
      <c r="FS360" s="108"/>
      <c r="FT360" s="108"/>
      <c r="FU360" s="108"/>
      <c r="FV360" s="108"/>
      <c r="FW360" s="108"/>
      <c r="FX360" s="108"/>
      <c r="FY360" s="108"/>
      <c r="FZ360" s="108"/>
      <c r="GA360" s="108"/>
      <c r="GB360" s="108"/>
      <c r="GC360" s="108"/>
      <c r="GD360" s="108"/>
      <c r="GE360" s="108"/>
      <c r="GF360" s="108"/>
      <c r="GG360" s="108"/>
      <c r="GH360" s="108"/>
      <c r="GI360" s="108"/>
      <c r="GJ360" s="108"/>
      <c r="GK360" s="108"/>
      <c r="GL360" s="108"/>
      <c r="GM360" s="108"/>
      <c r="GN360" s="108"/>
      <c r="GO360" s="108"/>
      <c r="GP360" s="108"/>
      <c r="GQ360" s="108"/>
      <c r="GR360" s="108"/>
      <c r="GS360" s="108"/>
      <c r="GT360" s="108"/>
      <c r="GU360" s="108"/>
      <c r="GV360" s="108"/>
      <c r="GW360" s="108"/>
      <c r="GX360" s="108"/>
      <c r="GY360" s="108"/>
      <c r="GZ360" s="108"/>
      <c r="HA360" s="108"/>
      <c r="HB360" s="108"/>
      <c r="HC360" s="108"/>
      <c r="HD360" s="108"/>
      <c r="HE360" s="108"/>
      <c r="HF360" s="108"/>
      <c r="HG360" s="108"/>
      <c r="HH360" s="108"/>
      <c r="HI360" s="108"/>
      <c r="HJ360" s="108"/>
      <c r="HK360" s="108"/>
      <c r="HL360" s="108"/>
      <c r="HM360" s="108"/>
      <c r="HN360" s="108"/>
      <c r="HO360" s="108"/>
      <c r="HP360" s="108"/>
      <c r="HQ360" s="108"/>
      <c r="HR360" s="108"/>
      <c r="HS360" s="108"/>
      <c r="HT360" s="108"/>
      <c r="HU360" s="108"/>
      <c r="HV360" s="108"/>
      <c r="HW360" s="108"/>
      <c r="HX360" s="108"/>
      <c r="HY360" s="108"/>
      <c r="HZ360" s="108"/>
      <c r="IA360" s="108"/>
      <c r="IB360" s="108"/>
      <c r="IC360" s="108"/>
      <c r="ID360" s="108"/>
      <c r="IE360" s="108"/>
      <c r="IF360" s="108"/>
      <c r="IG360" s="108"/>
      <c r="IH360" s="108"/>
      <c r="II360" s="108"/>
      <c r="IJ360" s="108"/>
      <c r="IK360" s="108"/>
      <c r="IL360" s="108"/>
      <c r="IM360" s="108"/>
      <c r="IN360" s="108"/>
      <c r="IO360" s="108"/>
      <c r="IP360" s="108"/>
      <c r="IQ360" s="108"/>
      <c r="IR360" s="108"/>
      <c r="IS360" s="108"/>
      <c r="IT360" s="108"/>
      <c r="IU360" s="108"/>
      <c r="IV360" s="108"/>
    </row>
    <row r="361" spans="1:256" ht="12.75">
      <c r="A361" t="s">
        <v>295</v>
      </c>
      <c r="B361" s="5">
        <f>B357*B66+B358*B67-B298*B77</f>
        <v>0</v>
      </c>
      <c r="C361" s="5">
        <f>C357*C66+C358*C67-C298*C77</f>
        <v>0</v>
      </c>
      <c r="D361" s="5">
        <f>D357*D66+D358*D67-D298*D77</f>
        <v>0</v>
      </c>
      <c r="E361" s="5">
        <f>E357*E66+E358*E67-E298*E77</f>
        <v>0</v>
      </c>
      <c r="F361" s="5">
        <f>F357*F66+F358*F67-F298*F77</f>
        <v>0</v>
      </c>
      <c r="G361" s="5">
        <f>G357*G66+G358*G67-G298*G77</f>
        <v>0</v>
      </c>
      <c r="H361" s="5">
        <f>H357*H66+H358*H67-H298*H77</f>
        <v>0</v>
      </c>
      <c r="I361" s="5">
        <f>I357*I66+I358*I67-I298*I77</f>
        <v>0</v>
      </c>
      <c r="J361" s="5">
        <f>J357*J66+J358*J67-J298*J77</f>
        <v>0</v>
      </c>
      <c r="K361" s="5">
        <f>K357*K66+K358*K67-K298*K77</f>
        <v>0</v>
      </c>
      <c r="L361" s="5">
        <f>L357*L66+L358*L67-L298*L77</f>
        <v>0</v>
      </c>
      <c r="M361" s="5">
        <f>M357*M66+M358*M67-M298*M77</f>
        <v>0</v>
      </c>
      <c r="N361" s="5">
        <f>N357*N66+N358*N67-N298*N77</f>
        <v>0</v>
      </c>
      <c r="O361" s="5">
        <f>O357*O66+O358*O67-O298*O77</f>
        <v>0</v>
      </c>
      <c r="P361" s="5">
        <f>P357*P66+P358*P67-P298*P77</f>
        <v>0</v>
      </c>
      <c r="Q361" s="5">
        <f>Q357*Q66+Q358*Q67-Q298*Q77</f>
        <v>0</v>
      </c>
      <c r="R361" s="5">
        <f>R357*R66+R358*R67-R298*R77</f>
        <v>0</v>
      </c>
      <c r="S361" s="5">
        <f>S357*S66+S358*S67-S298*S77</f>
        <v>0</v>
      </c>
      <c r="T361" s="5">
        <f>T357*T66+T358*T67-T298*T77</f>
        <v>-6.938893903907228E-18</v>
      </c>
      <c r="U361" s="5">
        <f>U357*U66+U358*U67-U298*U77</f>
        <v>9.020562075079397E-17</v>
      </c>
      <c r="V361" s="5">
        <f>V357*V66+V358*V67-V298*V77</f>
        <v>0</v>
      </c>
      <c r="W361" s="5">
        <f>W357*W66+W358*W67-W298*W77</f>
        <v>0</v>
      </c>
      <c r="X361" s="5">
        <f>X357*X66+X358*X67-X298*X77</f>
        <v>0</v>
      </c>
      <c r="Y361" s="5">
        <f>Y357*Y66+Y358*Y67-Y298*Y77</f>
        <v>0</v>
      </c>
      <c r="Z361" s="5">
        <f>Z357*Z66+Z358*Z67-Z298*Z77</f>
        <v>0</v>
      </c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  <c r="CW361" s="108"/>
      <c r="CX361" s="108"/>
      <c r="CY361" s="108"/>
      <c r="CZ361" s="108"/>
      <c r="DA361" s="108"/>
      <c r="DB361" s="108"/>
      <c r="DC361" s="108"/>
      <c r="DD361" s="108"/>
      <c r="DE361" s="108"/>
      <c r="DF361" s="108"/>
      <c r="DG361" s="108"/>
      <c r="DH361" s="108"/>
      <c r="DI361" s="108"/>
      <c r="DJ361" s="108"/>
      <c r="DK361" s="108"/>
      <c r="DL361" s="108"/>
      <c r="DM361" s="108"/>
      <c r="DN361" s="108"/>
      <c r="DO361" s="108"/>
      <c r="DP361" s="108"/>
      <c r="DQ361" s="108"/>
      <c r="DR361" s="108"/>
      <c r="DS361" s="108"/>
      <c r="DT361" s="108"/>
      <c r="DU361" s="108"/>
      <c r="DV361" s="108"/>
      <c r="DW361" s="108"/>
      <c r="DX361" s="108"/>
      <c r="DY361" s="108"/>
      <c r="DZ361" s="108"/>
      <c r="EA361" s="108"/>
      <c r="EB361" s="108"/>
      <c r="EC361" s="108"/>
      <c r="ED361" s="108"/>
      <c r="EE361" s="108"/>
      <c r="EF361" s="108"/>
      <c r="EG361" s="108"/>
      <c r="EH361" s="108"/>
      <c r="EI361" s="108"/>
      <c r="EJ361" s="108"/>
      <c r="EK361" s="108"/>
      <c r="EL361" s="108"/>
      <c r="EM361" s="108"/>
      <c r="EN361" s="108"/>
      <c r="EO361" s="108"/>
      <c r="EP361" s="108"/>
      <c r="EQ361" s="108"/>
      <c r="ER361" s="108"/>
      <c r="ES361" s="108"/>
      <c r="ET361" s="108"/>
      <c r="EU361" s="108"/>
      <c r="EV361" s="108"/>
      <c r="EW361" s="108"/>
      <c r="EX361" s="108"/>
      <c r="EY361" s="108"/>
      <c r="EZ361" s="108"/>
      <c r="FA361" s="108"/>
      <c r="FB361" s="108"/>
      <c r="FC361" s="108"/>
      <c r="FD361" s="108"/>
      <c r="FE361" s="108"/>
      <c r="FF361" s="108"/>
      <c r="FG361" s="108"/>
      <c r="FH361" s="108"/>
      <c r="FI361" s="108"/>
      <c r="FJ361" s="108"/>
      <c r="FK361" s="108"/>
      <c r="FL361" s="108"/>
      <c r="FM361" s="108"/>
      <c r="FN361" s="108"/>
      <c r="FO361" s="108"/>
      <c r="FP361" s="108"/>
      <c r="FQ361" s="108"/>
      <c r="FR361" s="108"/>
      <c r="FS361" s="108"/>
      <c r="FT361" s="108"/>
      <c r="FU361" s="108"/>
      <c r="FV361" s="108"/>
      <c r="FW361" s="108"/>
      <c r="FX361" s="108"/>
      <c r="FY361" s="108"/>
      <c r="FZ361" s="108"/>
      <c r="GA361" s="108"/>
      <c r="GB361" s="108"/>
      <c r="GC361" s="108"/>
      <c r="GD361" s="108"/>
      <c r="GE361" s="108"/>
      <c r="GF361" s="108"/>
      <c r="GG361" s="108"/>
      <c r="GH361" s="108"/>
      <c r="GI361" s="108"/>
      <c r="GJ361" s="108"/>
      <c r="GK361" s="108"/>
      <c r="GL361" s="108"/>
      <c r="GM361" s="108"/>
      <c r="GN361" s="108"/>
      <c r="GO361" s="108"/>
      <c r="GP361" s="108"/>
      <c r="GQ361" s="108"/>
      <c r="GR361" s="108"/>
      <c r="GS361" s="108"/>
      <c r="GT361" s="108"/>
      <c r="GU361" s="108"/>
      <c r="GV361" s="108"/>
      <c r="GW361" s="108"/>
      <c r="GX361" s="108"/>
      <c r="GY361" s="108"/>
      <c r="GZ361" s="108"/>
      <c r="HA361" s="108"/>
      <c r="HB361" s="108"/>
      <c r="HC361" s="108"/>
      <c r="HD361" s="108"/>
      <c r="HE361" s="108"/>
      <c r="HF361" s="108"/>
      <c r="HG361" s="108"/>
      <c r="HH361" s="108"/>
      <c r="HI361" s="108"/>
      <c r="HJ361" s="108"/>
      <c r="HK361" s="108"/>
      <c r="HL361" s="108"/>
      <c r="HM361" s="108"/>
      <c r="HN361" s="108"/>
      <c r="HO361" s="108"/>
      <c r="HP361" s="108"/>
      <c r="HQ361" s="108"/>
      <c r="HR361" s="108"/>
      <c r="HS361" s="108"/>
      <c r="HT361" s="108"/>
      <c r="HU361" s="108"/>
      <c r="HV361" s="108"/>
      <c r="HW361" s="108"/>
      <c r="HX361" s="108"/>
      <c r="HY361" s="108"/>
      <c r="HZ361" s="108"/>
      <c r="IA361" s="108"/>
      <c r="IB361" s="108"/>
      <c r="IC361" s="108"/>
      <c r="ID361" s="108"/>
      <c r="IE361" s="108"/>
      <c r="IF361" s="108"/>
      <c r="IG361" s="108"/>
      <c r="IH361" s="108"/>
      <c r="II361" s="108"/>
      <c r="IJ361" s="108"/>
      <c r="IK361" s="108"/>
      <c r="IL361" s="108"/>
      <c r="IM361" s="108"/>
      <c r="IN361" s="108"/>
      <c r="IO361" s="108"/>
      <c r="IP361" s="108"/>
      <c r="IQ361" s="108"/>
      <c r="IR361" s="108"/>
      <c r="IS361" s="108"/>
      <c r="IT361" s="108"/>
      <c r="IU361" s="108"/>
      <c r="IV361" s="108"/>
    </row>
    <row r="362" spans="2:256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  <c r="CW362" s="108"/>
      <c r="CX362" s="108"/>
      <c r="CY362" s="108"/>
      <c r="CZ362" s="108"/>
      <c r="DA362" s="108"/>
      <c r="DB362" s="108"/>
      <c r="DC362" s="108"/>
      <c r="DD362" s="108"/>
      <c r="DE362" s="108"/>
      <c r="DF362" s="108"/>
      <c r="DG362" s="108"/>
      <c r="DH362" s="108"/>
      <c r="DI362" s="108"/>
      <c r="DJ362" s="108"/>
      <c r="DK362" s="108"/>
      <c r="DL362" s="108"/>
      <c r="DM362" s="108"/>
      <c r="DN362" s="108"/>
      <c r="DO362" s="108"/>
      <c r="DP362" s="108"/>
      <c r="DQ362" s="108"/>
      <c r="DR362" s="108"/>
      <c r="DS362" s="108"/>
      <c r="DT362" s="108"/>
      <c r="DU362" s="108"/>
      <c r="DV362" s="108"/>
      <c r="DW362" s="108"/>
      <c r="DX362" s="108"/>
      <c r="DY362" s="108"/>
      <c r="DZ362" s="108"/>
      <c r="EA362" s="108"/>
      <c r="EB362" s="108"/>
      <c r="EC362" s="108"/>
      <c r="ED362" s="108"/>
      <c r="EE362" s="108"/>
      <c r="EF362" s="108"/>
      <c r="EG362" s="108"/>
      <c r="EH362" s="108"/>
      <c r="EI362" s="108"/>
      <c r="EJ362" s="108"/>
      <c r="EK362" s="108"/>
      <c r="EL362" s="108"/>
      <c r="EM362" s="108"/>
      <c r="EN362" s="108"/>
      <c r="EO362" s="108"/>
      <c r="EP362" s="108"/>
      <c r="EQ362" s="108"/>
      <c r="ER362" s="108"/>
      <c r="ES362" s="108"/>
      <c r="ET362" s="108"/>
      <c r="EU362" s="108"/>
      <c r="EV362" s="108"/>
      <c r="EW362" s="108"/>
      <c r="EX362" s="108"/>
      <c r="EY362" s="108"/>
      <c r="EZ362" s="108"/>
      <c r="FA362" s="108"/>
      <c r="FB362" s="108"/>
      <c r="FC362" s="108"/>
      <c r="FD362" s="108"/>
      <c r="FE362" s="108"/>
      <c r="FF362" s="108"/>
      <c r="FG362" s="108"/>
      <c r="FH362" s="108"/>
      <c r="FI362" s="108"/>
      <c r="FJ362" s="108"/>
      <c r="FK362" s="108"/>
      <c r="FL362" s="108"/>
      <c r="FM362" s="108"/>
      <c r="FN362" s="108"/>
      <c r="FO362" s="108"/>
      <c r="FP362" s="108"/>
      <c r="FQ362" s="108"/>
      <c r="FR362" s="108"/>
      <c r="FS362" s="108"/>
      <c r="FT362" s="108"/>
      <c r="FU362" s="108"/>
      <c r="FV362" s="108"/>
      <c r="FW362" s="108"/>
      <c r="FX362" s="108"/>
      <c r="FY362" s="108"/>
      <c r="FZ362" s="108"/>
      <c r="GA362" s="108"/>
      <c r="GB362" s="108"/>
      <c r="GC362" s="108"/>
      <c r="GD362" s="108"/>
      <c r="GE362" s="108"/>
      <c r="GF362" s="108"/>
      <c r="GG362" s="108"/>
      <c r="GH362" s="108"/>
      <c r="GI362" s="108"/>
      <c r="GJ362" s="108"/>
      <c r="GK362" s="108"/>
      <c r="GL362" s="108"/>
      <c r="GM362" s="108"/>
      <c r="GN362" s="108"/>
      <c r="GO362" s="108"/>
      <c r="GP362" s="108"/>
      <c r="GQ362" s="108"/>
      <c r="GR362" s="108"/>
      <c r="GS362" s="108"/>
      <c r="GT362" s="108"/>
      <c r="GU362" s="108"/>
      <c r="GV362" s="108"/>
      <c r="GW362" s="108"/>
      <c r="GX362" s="108"/>
      <c r="GY362" s="108"/>
      <c r="GZ362" s="108"/>
      <c r="HA362" s="108"/>
      <c r="HB362" s="108"/>
      <c r="HC362" s="108"/>
      <c r="HD362" s="108"/>
      <c r="HE362" s="108"/>
      <c r="HF362" s="108"/>
      <c r="HG362" s="108"/>
      <c r="HH362" s="108"/>
      <c r="HI362" s="108"/>
      <c r="HJ362" s="108"/>
      <c r="HK362" s="108"/>
      <c r="HL362" s="108"/>
      <c r="HM362" s="108"/>
      <c r="HN362" s="108"/>
      <c r="HO362" s="108"/>
      <c r="HP362" s="108"/>
      <c r="HQ362" s="108"/>
      <c r="HR362" s="108"/>
      <c r="HS362" s="108"/>
      <c r="HT362" s="108"/>
      <c r="HU362" s="108"/>
      <c r="HV362" s="108"/>
      <c r="HW362" s="108"/>
      <c r="HX362" s="108"/>
      <c r="HY362" s="108"/>
      <c r="HZ362" s="108"/>
      <c r="IA362" s="108"/>
      <c r="IB362" s="108"/>
      <c r="IC362" s="108"/>
      <c r="ID362" s="108"/>
      <c r="IE362" s="108"/>
      <c r="IF362" s="108"/>
      <c r="IG362" s="108"/>
      <c r="IH362" s="108"/>
      <c r="II362" s="108"/>
      <c r="IJ362" s="108"/>
      <c r="IK362" s="108"/>
      <c r="IL362" s="108"/>
      <c r="IM362" s="108"/>
      <c r="IN362" s="108"/>
      <c r="IO362" s="108"/>
      <c r="IP362" s="108"/>
      <c r="IQ362" s="108"/>
      <c r="IR362" s="108"/>
      <c r="IS362" s="108"/>
      <c r="IT362" s="108"/>
      <c r="IU362" s="108"/>
      <c r="IV362" s="108"/>
    </row>
    <row r="363" spans="1:256" ht="12.75">
      <c r="A363" t="s">
        <v>422</v>
      </c>
      <c r="B363" s="5">
        <f>B281+B359</f>
        <v>-3.3662148911071452</v>
      </c>
      <c r="C363" s="5">
        <f>C281+C359</f>
        <v>-4.034276903878238</v>
      </c>
      <c r="D363" s="5">
        <f>D281+D359</f>
        <v>-4.104469724445583</v>
      </c>
      <c r="E363" s="5">
        <f>E281+E359</f>
        <v>-3.6810467932662467</v>
      </c>
      <c r="F363" s="5">
        <f>F281+F359</f>
        <v>-3.04143935775977</v>
      </c>
      <c r="G363" s="5">
        <f>G281+G359</f>
        <v>-2.5794440327560038</v>
      </c>
      <c r="H363" s="5">
        <f>H281+H359</f>
        <v>-2.5269476812832723</v>
      </c>
      <c r="I363" s="5">
        <f>I281+I359</f>
        <v>-2.639953222717938</v>
      </c>
      <c r="J363" s="5">
        <f>J281+J359</f>
        <v>-2.486807026442548</v>
      </c>
      <c r="K363" s="5">
        <f>K281+K359</f>
        <v>-2.065254588499365</v>
      </c>
      <c r="L363" s="5">
        <f>L281+L359</f>
        <v>-1.7744601120177472</v>
      </c>
      <c r="M363" s="5">
        <f>M281+M359</f>
        <v>-1.7230402552061292</v>
      </c>
      <c r="N363" s="5">
        <f>N281+N359</f>
        <v>-1.5041929613656437</v>
      </c>
      <c r="O363" s="5">
        <f>O281+O359</f>
        <v>-0.8814333148797532</v>
      </c>
      <c r="P363" s="5">
        <f>P281+P359</f>
        <v>-0.31709880099028886</v>
      </c>
      <c r="Q363" s="5">
        <f>Q281+Q359</f>
        <v>-0.4386826258725275</v>
      </c>
      <c r="R363" s="5">
        <f>R281+R359</f>
        <v>-1.1797189470002543</v>
      </c>
      <c r="S363" s="5">
        <f>S281+S359</f>
        <v>-1.862769832490521</v>
      </c>
      <c r="T363" s="5">
        <f>T281+T359</f>
        <v>-2.0901711292509337</v>
      </c>
      <c r="U363" s="5">
        <f>U281+U359</f>
        <v>-2.133096205529794</v>
      </c>
      <c r="V363" s="5">
        <f>V281+V359</f>
        <v>-2.3162634408911082</v>
      </c>
      <c r="W363" s="5">
        <f>W281+W359</f>
        <v>-2.4564653185069276</v>
      </c>
      <c r="X363" s="5">
        <f>X281+X359</f>
        <v>-2.3709247280140096</v>
      </c>
      <c r="Y363" s="5">
        <f>Y281+Y359</f>
        <v>-2.572079914570355</v>
      </c>
      <c r="Z363" s="5">
        <f>Z281+Z359</f>
        <v>-3.366214891107146</v>
      </c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08"/>
      <c r="CY363" s="108"/>
      <c r="CZ363" s="108"/>
      <c r="DA363" s="108"/>
      <c r="DB363" s="108"/>
      <c r="DC363" s="108"/>
      <c r="DD363" s="108"/>
      <c r="DE363" s="108"/>
      <c r="DF363" s="108"/>
      <c r="DG363" s="108"/>
      <c r="DH363" s="108"/>
      <c r="DI363" s="108"/>
      <c r="DJ363" s="108"/>
      <c r="DK363" s="108"/>
      <c r="DL363" s="108"/>
      <c r="DM363" s="108"/>
      <c r="DN363" s="108"/>
      <c r="DO363" s="108"/>
      <c r="DP363" s="108"/>
      <c r="DQ363" s="108"/>
      <c r="DR363" s="108"/>
      <c r="DS363" s="108"/>
      <c r="DT363" s="108"/>
      <c r="DU363" s="108"/>
      <c r="DV363" s="108"/>
      <c r="DW363" s="108"/>
      <c r="DX363" s="108"/>
      <c r="DY363" s="108"/>
      <c r="DZ363" s="108"/>
      <c r="EA363" s="108"/>
      <c r="EB363" s="108"/>
      <c r="EC363" s="108"/>
      <c r="ED363" s="108"/>
      <c r="EE363" s="108"/>
      <c r="EF363" s="108"/>
      <c r="EG363" s="108"/>
      <c r="EH363" s="108"/>
      <c r="EI363" s="108"/>
      <c r="EJ363" s="108"/>
      <c r="EK363" s="108"/>
      <c r="EL363" s="108"/>
      <c r="EM363" s="108"/>
      <c r="EN363" s="108"/>
      <c r="EO363" s="108"/>
      <c r="EP363" s="108"/>
      <c r="EQ363" s="108"/>
      <c r="ER363" s="108"/>
      <c r="ES363" s="108"/>
      <c r="ET363" s="108"/>
      <c r="EU363" s="108"/>
      <c r="EV363" s="108"/>
      <c r="EW363" s="108"/>
      <c r="EX363" s="108"/>
      <c r="EY363" s="108"/>
      <c r="EZ363" s="108"/>
      <c r="FA363" s="108"/>
      <c r="FB363" s="108"/>
      <c r="FC363" s="108"/>
      <c r="FD363" s="108"/>
      <c r="FE363" s="108"/>
      <c r="FF363" s="108"/>
      <c r="FG363" s="108"/>
      <c r="FH363" s="108"/>
      <c r="FI363" s="108"/>
      <c r="FJ363" s="108"/>
      <c r="FK363" s="108"/>
      <c r="FL363" s="108"/>
      <c r="FM363" s="108"/>
      <c r="FN363" s="108"/>
      <c r="FO363" s="108"/>
      <c r="FP363" s="108"/>
      <c r="FQ363" s="108"/>
      <c r="FR363" s="108"/>
      <c r="FS363" s="108"/>
      <c r="FT363" s="108"/>
      <c r="FU363" s="108"/>
      <c r="FV363" s="108"/>
      <c r="FW363" s="108"/>
      <c r="FX363" s="108"/>
      <c r="FY363" s="108"/>
      <c r="FZ363" s="108"/>
      <c r="GA363" s="108"/>
      <c r="GB363" s="108"/>
      <c r="GC363" s="108"/>
      <c r="GD363" s="108"/>
      <c r="GE363" s="108"/>
      <c r="GF363" s="108"/>
      <c r="GG363" s="108"/>
      <c r="GH363" s="108"/>
      <c r="GI363" s="108"/>
      <c r="GJ363" s="108"/>
      <c r="GK363" s="108"/>
      <c r="GL363" s="108"/>
      <c r="GM363" s="108"/>
      <c r="GN363" s="108"/>
      <c r="GO363" s="108"/>
      <c r="GP363" s="108"/>
      <c r="GQ363" s="108"/>
      <c r="GR363" s="108"/>
      <c r="GS363" s="108"/>
      <c r="GT363" s="108"/>
      <c r="GU363" s="108"/>
      <c r="GV363" s="108"/>
      <c r="GW363" s="108"/>
      <c r="GX363" s="108"/>
      <c r="GY363" s="108"/>
      <c r="GZ363" s="108"/>
      <c r="HA363" s="108"/>
      <c r="HB363" s="108"/>
      <c r="HC363" s="108"/>
      <c r="HD363" s="108"/>
      <c r="HE363" s="108"/>
      <c r="HF363" s="108"/>
      <c r="HG363" s="108"/>
      <c r="HH363" s="108"/>
      <c r="HI363" s="108"/>
      <c r="HJ363" s="108"/>
      <c r="HK363" s="108"/>
      <c r="HL363" s="108"/>
      <c r="HM363" s="108"/>
      <c r="HN363" s="108"/>
      <c r="HO363" s="108"/>
      <c r="HP363" s="108"/>
      <c r="HQ363" s="108"/>
      <c r="HR363" s="108"/>
      <c r="HS363" s="108"/>
      <c r="HT363" s="108"/>
      <c r="HU363" s="108"/>
      <c r="HV363" s="108"/>
      <c r="HW363" s="108"/>
      <c r="HX363" s="108"/>
      <c r="HY363" s="108"/>
      <c r="HZ363" s="108"/>
      <c r="IA363" s="108"/>
      <c r="IB363" s="108"/>
      <c r="IC363" s="108"/>
      <c r="ID363" s="108"/>
      <c r="IE363" s="108"/>
      <c r="IF363" s="108"/>
      <c r="IG363" s="108"/>
      <c r="IH363" s="108"/>
      <c r="II363" s="108"/>
      <c r="IJ363" s="108"/>
      <c r="IK363" s="108"/>
      <c r="IL363" s="108"/>
      <c r="IM363" s="108"/>
      <c r="IN363" s="108"/>
      <c r="IO363" s="108"/>
      <c r="IP363" s="108"/>
      <c r="IQ363" s="108"/>
      <c r="IR363" s="108"/>
      <c r="IS363" s="108"/>
      <c r="IT363" s="108"/>
      <c r="IU363" s="108"/>
      <c r="IV363" s="108"/>
    </row>
    <row r="364" spans="1:256" ht="12.75">
      <c r="A364" t="s">
        <v>421</v>
      </c>
      <c r="B364" s="5">
        <f>B282+B360</f>
        <v>10.949783589257068</v>
      </c>
      <c r="C364" s="5">
        <f>C282+C360</f>
        <v>11.533711334060543</v>
      </c>
      <c r="D364" s="5">
        <f>D282+D360</f>
        <v>12.531259366521253</v>
      </c>
      <c r="E364" s="5">
        <f>E282+E360</f>
        <v>14.026785904293613</v>
      </c>
      <c r="F364" s="5">
        <f>F282+F360</f>
        <v>15.296791504414864</v>
      </c>
      <c r="G364" s="5">
        <f>G282+G360</f>
        <v>15.353949089728768</v>
      </c>
      <c r="H364" s="5">
        <f>H282+H360</f>
        <v>14.123113381205865</v>
      </c>
      <c r="I364" s="5">
        <f>I282+I360</f>
        <v>12.640442025849197</v>
      </c>
      <c r="J364" s="5">
        <f>J282+J360</f>
        <v>11.84998827433461</v>
      </c>
      <c r="K364" s="5">
        <f>K282+K360</f>
        <v>11.634776895492411</v>
      </c>
      <c r="L364" s="5">
        <f>L282+L360</f>
        <v>11.32886494017699</v>
      </c>
      <c r="M364" s="5">
        <f>M282+M360</f>
        <v>10.828585016880988</v>
      </c>
      <c r="N364" s="5">
        <f>N282+N360</f>
        <v>10.68912087898693</v>
      </c>
      <c r="O364" s="5">
        <f>O282+O360</f>
        <v>11.156528865265912</v>
      </c>
      <c r="P364" s="5">
        <f>P282+P360</f>
        <v>11.616471733135787</v>
      </c>
      <c r="Q364" s="5">
        <f>Q282+Q360</f>
        <v>11.307964424391479</v>
      </c>
      <c r="R364" s="5">
        <f>R282+R360</f>
        <v>10.311771999759817</v>
      </c>
      <c r="S364" s="5">
        <f>S282+S360</f>
        <v>9.414754040957629</v>
      </c>
      <c r="T364" s="5">
        <f>T282+T360</f>
        <v>9.06532678864674</v>
      </c>
      <c r="U364" s="5">
        <f>U282+U360</f>
        <v>8.93449086928661</v>
      </c>
      <c r="V364" s="5">
        <f>V282+V360</f>
        <v>8.665290421219497</v>
      </c>
      <c r="W364" s="5">
        <f>W282+W360</f>
        <v>8.587386668789422</v>
      </c>
      <c r="X364" s="5">
        <f>X282+X360</f>
        <v>9.200833417337897</v>
      </c>
      <c r="Y364" s="5">
        <f>Y282+Y360</f>
        <v>10.213361382818055</v>
      </c>
      <c r="Z364" s="5">
        <f>Z282+Z360</f>
        <v>10.949783589257066</v>
      </c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08"/>
      <c r="CY364" s="108"/>
      <c r="CZ364" s="108"/>
      <c r="DA364" s="108"/>
      <c r="DB364" s="108"/>
      <c r="DC364" s="108"/>
      <c r="DD364" s="108"/>
      <c r="DE364" s="108"/>
      <c r="DF364" s="108"/>
      <c r="DG364" s="108"/>
      <c r="DH364" s="108"/>
      <c r="DI364" s="108"/>
      <c r="DJ364" s="108"/>
      <c r="DK364" s="108"/>
      <c r="DL364" s="108"/>
      <c r="DM364" s="108"/>
      <c r="DN364" s="108"/>
      <c r="DO364" s="108"/>
      <c r="DP364" s="108"/>
      <c r="DQ364" s="108"/>
      <c r="DR364" s="108"/>
      <c r="DS364" s="108"/>
      <c r="DT364" s="108"/>
      <c r="DU364" s="108"/>
      <c r="DV364" s="108"/>
      <c r="DW364" s="108"/>
      <c r="DX364" s="108"/>
      <c r="DY364" s="108"/>
      <c r="DZ364" s="108"/>
      <c r="EA364" s="108"/>
      <c r="EB364" s="108"/>
      <c r="EC364" s="108"/>
      <c r="ED364" s="108"/>
      <c r="EE364" s="108"/>
      <c r="EF364" s="108"/>
      <c r="EG364" s="108"/>
      <c r="EH364" s="108"/>
      <c r="EI364" s="108"/>
      <c r="EJ364" s="108"/>
      <c r="EK364" s="108"/>
      <c r="EL364" s="108"/>
      <c r="EM364" s="108"/>
      <c r="EN364" s="108"/>
      <c r="EO364" s="108"/>
      <c r="EP364" s="108"/>
      <c r="EQ364" s="108"/>
      <c r="ER364" s="108"/>
      <c r="ES364" s="108"/>
      <c r="ET364" s="108"/>
      <c r="EU364" s="108"/>
      <c r="EV364" s="108"/>
      <c r="EW364" s="108"/>
      <c r="EX364" s="108"/>
      <c r="EY364" s="108"/>
      <c r="EZ364" s="108"/>
      <c r="FA364" s="108"/>
      <c r="FB364" s="108"/>
      <c r="FC364" s="108"/>
      <c r="FD364" s="108"/>
      <c r="FE364" s="108"/>
      <c r="FF364" s="108"/>
      <c r="FG364" s="108"/>
      <c r="FH364" s="108"/>
      <c r="FI364" s="108"/>
      <c r="FJ364" s="108"/>
      <c r="FK364" s="108"/>
      <c r="FL364" s="108"/>
      <c r="FM364" s="108"/>
      <c r="FN364" s="108"/>
      <c r="FO364" s="108"/>
      <c r="FP364" s="108"/>
      <c r="FQ364" s="108"/>
      <c r="FR364" s="108"/>
      <c r="FS364" s="108"/>
      <c r="FT364" s="108"/>
      <c r="FU364" s="108"/>
      <c r="FV364" s="108"/>
      <c r="FW364" s="108"/>
      <c r="FX364" s="108"/>
      <c r="FY364" s="108"/>
      <c r="FZ364" s="108"/>
      <c r="GA364" s="108"/>
      <c r="GB364" s="108"/>
      <c r="GC364" s="108"/>
      <c r="GD364" s="108"/>
      <c r="GE364" s="108"/>
      <c r="GF364" s="108"/>
      <c r="GG364" s="108"/>
      <c r="GH364" s="108"/>
      <c r="GI364" s="108"/>
      <c r="GJ364" s="108"/>
      <c r="GK364" s="108"/>
      <c r="GL364" s="108"/>
      <c r="GM364" s="108"/>
      <c r="GN364" s="108"/>
      <c r="GO364" s="108"/>
      <c r="GP364" s="108"/>
      <c r="GQ364" s="108"/>
      <c r="GR364" s="108"/>
      <c r="GS364" s="108"/>
      <c r="GT364" s="108"/>
      <c r="GU364" s="108"/>
      <c r="GV364" s="108"/>
      <c r="GW364" s="108"/>
      <c r="GX364" s="108"/>
      <c r="GY364" s="108"/>
      <c r="GZ364" s="108"/>
      <c r="HA364" s="108"/>
      <c r="HB364" s="108"/>
      <c r="HC364" s="108"/>
      <c r="HD364" s="108"/>
      <c r="HE364" s="108"/>
      <c r="HF364" s="108"/>
      <c r="HG364" s="108"/>
      <c r="HH364" s="108"/>
      <c r="HI364" s="108"/>
      <c r="HJ364" s="108"/>
      <c r="HK364" s="108"/>
      <c r="HL364" s="108"/>
      <c r="HM364" s="108"/>
      <c r="HN364" s="108"/>
      <c r="HO364" s="108"/>
      <c r="HP364" s="108"/>
      <c r="HQ364" s="108"/>
      <c r="HR364" s="108"/>
      <c r="HS364" s="108"/>
      <c r="HT364" s="108"/>
      <c r="HU364" s="108"/>
      <c r="HV364" s="108"/>
      <c r="HW364" s="108"/>
      <c r="HX364" s="108"/>
      <c r="HY364" s="108"/>
      <c r="HZ364" s="108"/>
      <c r="IA364" s="108"/>
      <c r="IB364" s="108"/>
      <c r="IC364" s="108"/>
      <c r="ID364" s="108"/>
      <c r="IE364" s="108"/>
      <c r="IF364" s="108"/>
      <c r="IG364" s="108"/>
      <c r="IH364" s="108"/>
      <c r="II364" s="108"/>
      <c r="IJ364" s="108"/>
      <c r="IK364" s="108"/>
      <c r="IL364" s="108"/>
      <c r="IM364" s="108"/>
      <c r="IN364" s="108"/>
      <c r="IO364" s="108"/>
      <c r="IP364" s="108"/>
      <c r="IQ364" s="108"/>
      <c r="IR364" s="108"/>
      <c r="IS364" s="108"/>
      <c r="IT364" s="108"/>
      <c r="IU364" s="108"/>
      <c r="IV364" s="108"/>
    </row>
    <row r="365" spans="1:256" ht="12.75">
      <c r="A365" t="s">
        <v>317</v>
      </c>
      <c r="B365" s="5">
        <f>B363*B83+B364*B84-B266-B236-B237</f>
        <v>0</v>
      </c>
      <c r="C365" s="5">
        <f>C363*C83+C364*C84-C266-C236-C237</f>
        <v>0</v>
      </c>
      <c r="D365" s="5">
        <f>D363*D83+D364*D84-D266-D236-D237</f>
        <v>0</v>
      </c>
      <c r="E365" s="5">
        <f>E363*E83+E364*E84-E266-E236-E237</f>
        <v>0</v>
      </c>
      <c r="F365" s="5">
        <f>F363*F83+F364*F84-F266-F236-F237</f>
        <v>0</v>
      </c>
      <c r="G365" s="5">
        <f>G363*G83+G364*G84-G266-G236-G237</f>
        <v>0</v>
      </c>
      <c r="H365" s="5">
        <f>H363*H83+H364*H84-H266-H236-H237</f>
        <v>0</v>
      </c>
      <c r="I365" s="5">
        <f>I363*I83+I364*I84-I266-I236-I237</f>
        <v>0</v>
      </c>
      <c r="J365" s="5">
        <f>J363*J83+J364*J84-J266-J236-J237</f>
        <v>0</v>
      </c>
      <c r="K365" s="5">
        <f>K363*K83+K364*K84-K266-K236-K237</f>
        <v>0</v>
      </c>
      <c r="L365" s="5">
        <f>L363*L83+L364*L84-L266-L236-L237</f>
        <v>0</v>
      </c>
      <c r="M365" s="5">
        <f>M363*M83+M364*M84-M266-M236-M237</f>
        <v>0</v>
      </c>
      <c r="N365" s="5">
        <f>N363*N83+N364*N84-N266-N236-N237</f>
        <v>0</v>
      </c>
      <c r="O365" s="5">
        <f>O363*O83+O364*O84-O266-O236-O237</f>
        <v>0</v>
      </c>
      <c r="P365" s="5">
        <f>P363*P83+P364*P84-P266-P236-P237</f>
        <v>0</v>
      </c>
      <c r="Q365" s="5">
        <f>Q363*Q83+Q364*Q84-Q266-Q236-Q237</f>
        <v>0</v>
      </c>
      <c r="R365" s="5">
        <f>R363*R83+R364*R84-R266-R236-R237</f>
        <v>0</v>
      </c>
      <c r="S365" s="5">
        <f>S363*S83+S364*S84-S266-S236-S237</f>
        <v>0</v>
      </c>
      <c r="T365" s="5">
        <f>T363*T83+T364*T84-T266-T236-T237</f>
        <v>0</v>
      </c>
      <c r="U365" s="5">
        <f>U363*U83+U364*U84-U266-U236-U237</f>
        <v>0</v>
      </c>
      <c r="V365" s="5">
        <f>V363*V83+V364*V84-V266-V236-V237</f>
        <v>0</v>
      </c>
      <c r="W365" s="5">
        <f>W363*W83+W364*W84-W266-W236-W237</f>
        <v>0</v>
      </c>
      <c r="X365" s="5">
        <f>X363*X83+X364*X84-X266-X236-X237</f>
        <v>0</v>
      </c>
      <c r="Y365" s="5">
        <f>Y363*Y83+Y364*Y84-Y266-Y236-Y237</f>
        <v>0</v>
      </c>
      <c r="Z365" s="5">
        <f>Z363*Z83+Z364*Z84-Z266-Z236-Z237</f>
        <v>0</v>
      </c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08"/>
      <c r="CY365" s="108"/>
      <c r="CZ365" s="108"/>
      <c r="DA365" s="108"/>
      <c r="DB365" s="108"/>
      <c r="DC365" s="108"/>
      <c r="DD365" s="108"/>
      <c r="DE365" s="108"/>
      <c r="DF365" s="108"/>
      <c r="DG365" s="108"/>
      <c r="DH365" s="108"/>
      <c r="DI365" s="108"/>
      <c r="DJ365" s="108"/>
      <c r="DK365" s="108"/>
      <c r="DL365" s="108"/>
      <c r="DM365" s="108"/>
      <c r="DN365" s="108"/>
      <c r="DO365" s="108"/>
      <c r="DP365" s="108"/>
      <c r="DQ365" s="108"/>
      <c r="DR365" s="108"/>
      <c r="DS365" s="108"/>
      <c r="DT365" s="108"/>
      <c r="DU365" s="108"/>
      <c r="DV365" s="108"/>
      <c r="DW365" s="108"/>
      <c r="DX365" s="108"/>
      <c r="DY365" s="108"/>
      <c r="DZ365" s="108"/>
      <c r="EA365" s="108"/>
      <c r="EB365" s="108"/>
      <c r="EC365" s="108"/>
      <c r="ED365" s="108"/>
      <c r="EE365" s="108"/>
      <c r="EF365" s="108"/>
      <c r="EG365" s="108"/>
      <c r="EH365" s="108"/>
      <c r="EI365" s="108"/>
      <c r="EJ365" s="108"/>
      <c r="EK365" s="108"/>
      <c r="EL365" s="108"/>
      <c r="EM365" s="108"/>
      <c r="EN365" s="108"/>
      <c r="EO365" s="108"/>
      <c r="EP365" s="108"/>
      <c r="EQ365" s="108"/>
      <c r="ER365" s="108"/>
      <c r="ES365" s="108"/>
      <c r="ET365" s="108"/>
      <c r="EU365" s="108"/>
      <c r="EV365" s="108"/>
      <c r="EW365" s="108"/>
      <c r="EX365" s="108"/>
      <c r="EY365" s="108"/>
      <c r="EZ365" s="108"/>
      <c r="FA365" s="108"/>
      <c r="FB365" s="108"/>
      <c r="FC365" s="108"/>
      <c r="FD365" s="108"/>
      <c r="FE365" s="108"/>
      <c r="FF365" s="108"/>
      <c r="FG365" s="108"/>
      <c r="FH365" s="108"/>
      <c r="FI365" s="108"/>
      <c r="FJ365" s="108"/>
      <c r="FK365" s="108"/>
      <c r="FL365" s="108"/>
      <c r="FM365" s="108"/>
      <c r="FN365" s="108"/>
      <c r="FO365" s="108"/>
      <c r="FP365" s="108"/>
      <c r="FQ365" s="108"/>
      <c r="FR365" s="108"/>
      <c r="FS365" s="108"/>
      <c r="FT365" s="108"/>
      <c r="FU365" s="108"/>
      <c r="FV365" s="108"/>
      <c r="FW365" s="108"/>
      <c r="FX365" s="108"/>
      <c r="FY365" s="108"/>
      <c r="FZ365" s="108"/>
      <c r="GA365" s="108"/>
      <c r="GB365" s="108"/>
      <c r="GC365" s="108"/>
      <c r="GD365" s="108"/>
      <c r="GE365" s="108"/>
      <c r="GF365" s="108"/>
      <c r="GG365" s="108"/>
      <c r="GH365" s="108"/>
      <c r="GI365" s="108"/>
      <c r="GJ365" s="108"/>
      <c r="GK365" s="108"/>
      <c r="GL365" s="108"/>
      <c r="GM365" s="108"/>
      <c r="GN365" s="108"/>
      <c r="GO365" s="108"/>
      <c r="GP365" s="108"/>
      <c r="GQ365" s="108"/>
      <c r="GR365" s="108"/>
      <c r="GS365" s="108"/>
      <c r="GT365" s="108"/>
      <c r="GU365" s="108"/>
      <c r="GV365" s="108"/>
      <c r="GW365" s="108"/>
      <c r="GX365" s="108"/>
      <c r="GY365" s="108"/>
      <c r="GZ365" s="108"/>
      <c r="HA365" s="108"/>
      <c r="HB365" s="108"/>
      <c r="HC365" s="108"/>
      <c r="HD365" s="108"/>
      <c r="HE365" s="108"/>
      <c r="HF365" s="108"/>
      <c r="HG365" s="108"/>
      <c r="HH365" s="108"/>
      <c r="HI365" s="108"/>
      <c r="HJ365" s="108"/>
      <c r="HK365" s="108"/>
      <c r="HL365" s="108"/>
      <c r="HM365" s="108"/>
      <c r="HN365" s="108"/>
      <c r="HO365" s="108"/>
      <c r="HP365" s="108"/>
      <c r="HQ365" s="108"/>
      <c r="HR365" s="108"/>
      <c r="HS365" s="108"/>
      <c r="HT365" s="108"/>
      <c r="HU365" s="108"/>
      <c r="HV365" s="108"/>
      <c r="HW365" s="108"/>
      <c r="HX365" s="108"/>
      <c r="HY365" s="108"/>
      <c r="HZ365" s="108"/>
      <c r="IA365" s="108"/>
      <c r="IB365" s="108"/>
      <c r="IC365" s="108"/>
      <c r="ID365" s="108"/>
      <c r="IE365" s="108"/>
      <c r="IF365" s="108"/>
      <c r="IG365" s="108"/>
      <c r="IH365" s="108"/>
      <c r="II365" s="108"/>
      <c r="IJ365" s="108"/>
      <c r="IK365" s="108"/>
      <c r="IL365" s="108"/>
      <c r="IM365" s="108"/>
      <c r="IN365" s="108"/>
      <c r="IO365" s="108"/>
      <c r="IP365" s="108"/>
      <c r="IQ365" s="108"/>
      <c r="IR365" s="108"/>
      <c r="IS365" s="108"/>
      <c r="IT365" s="108"/>
      <c r="IU365" s="108"/>
      <c r="IV365" s="108"/>
    </row>
    <row r="366" spans="2:256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08"/>
      <c r="CY366" s="108"/>
      <c r="CZ366" s="108"/>
      <c r="DA366" s="108"/>
      <c r="DB366" s="108"/>
      <c r="DC366" s="108"/>
      <c r="DD366" s="108"/>
      <c r="DE366" s="108"/>
      <c r="DF366" s="108"/>
      <c r="DG366" s="108"/>
      <c r="DH366" s="108"/>
      <c r="DI366" s="108"/>
      <c r="DJ366" s="108"/>
      <c r="DK366" s="108"/>
      <c r="DL366" s="108"/>
      <c r="DM366" s="108"/>
      <c r="DN366" s="108"/>
      <c r="DO366" s="108"/>
      <c r="DP366" s="108"/>
      <c r="DQ366" s="108"/>
      <c r="DR366" s="108"/>
      <c r="DS366" s="108"/>
      <c r="DT366" s="108"/>
      <c r="DU366" s="108"/>
      <c r="DV366" s="108"/>
      <c r="DW366" s="108"/>
      <c r="DX366" s="108"/>
      <c r="DY366" s="108"/>
      <c r="DZ366" s="108"/>
      <c r="EA366" s="108"/>
      <c r="EB366" s="108"/>
      <c r="EC366" s="108"/>
      <c r="ED366" s="108"/>
      <c r="EE366" s="108"/>
      <c r="EF366" s="108"/>
      <c r="EG366" s="108"/>
      <c r="EH366" s="108"/>
      <c r="EI366" s="108"/>
      <c r="EJ366" s="108"/>
      <c r="EK366" s="108"/>
      <c r="EL366" s="108"/>
      <c r="EM366" s="108"/>
      <c r="EN366" s="108"/>
      <c r="EO366" s="108"/>
      <c r="EP366" s="108"/>
      <c r="EQ366" s="108"/>
      <c r="ER366" s="108"/>
      <c r="ES366" s="108"/>
      <c r="ET366" s="108"/>
      <c r="EU366" s="108"/>
      <c r="EV366" s="108"/>
      <c r="EW366" s="108"/>
      <c r="EX366" s="108"/>
      <c r="EY366" s="108"/>
      <c r="EZ366" s="108"/>
      <c r="FA366" s="108"/>
      <c r="FB366" s="108"/>
      <c r="FC366" s="108"/>
      <c r="FD366" s="108"/>
      <c r="FE366" s="108"/>
      <c r="FF366" s="108"/>
      <c r="FG366" s="108"/>
      <c r="FH366" s="108"/>
      <c r="FI366" s="108"/>
      <c r="FJ366" s="108"/>
      <c r="FK366" s="108"/>
      <c r="FL366" s="108"/>
      <c r="FM366" s="108"/>
      <c r="FN366" s="108"/>
      <c r="FO366" s="108"/>
      <c r="FP366" s="108"/>
      <c r="FQ366" s="108"/>
      <c r="FR366" s="108"/>
      <c r="FS366" s="108"/>
      <c r="FT366" s="108"/>
      <c r="FU366" s="108"/>
      <c r="FV366" s="108"/>
      <c r="FW366" s="108"/>
      <c r="FX366" s="108"/>
      <c r="FY366" s="108"/>
      <c r="FZ366" s="108"/>
      <c r="GA366" s="108"/>
      <c r="GB366" s="108"/>
      <c r="GC366" s="108"/>
      <c r="GD366" s="108"/>
      <c r="GE366" s="108"/>
      <c r="GF366" s="108"/>
      <c r="GG366" s="108"/>
      <c r="GH366" s="108"/>
      <c r="GI366" s="108"/>
      <c r="GJ366" s="108"/>
      <c r="GK366" s="108"/>
      <c r="GL366" s="108"/>
      <c r="GM366" s="108"/>
      <c r="GN366" s="108"/>
      <c r="GO366" s="108"/>
      <c r="GP366" s="108"/>
      <c r="GQ366" s="108"/>
      <c r="GR366" s="108"/>
      <c r="GS366" s="108"/>
      <c r="GT366" s="108"/>
      <c r="GU366" s="108"/>
      <c r="GV366" s="108"/>
      <c r="GW366" s="108"/>
      <c r="GX366" s="108"/>
      <c r="GY366" s="108"/>
      <c r="GZ366" s="108"/>
      <c r="HA366" s="108"/>
      <c r="HB366" s="108"/>
      <c r="HC366" s="108"/>
      <c r="HD366" s="108"/>
      <c r="HE366" s="108"/>
      <c r="HF366" s="108"/>
      <c r="HG366" s="108"/>
      <c r="HH366" s="108"/>
      <c r="HI366" s="108"/>
      <c r="HJ366" s="108"/>
      <c r="HK366" s="108"/>
      <c r="HL366" s="108"/>
      <c r="HM366" s="108"/>
      <c r="HN366" s="108"/>
      <c r="HO366" s="108"/>
      <c r="HP366" s="108"/>
      <c r="HQ366" s="108"/>
      <c r="HR366" s="108"/>
      <c r="HS366" s="108"/>
      <c r="HT366" s="108"/>
      <c r="HU366" s="108"/>
      <c r="HV366" s="108"/>
      <c r="HW366" s="108"/>
      <c r="HX366" s="108"/>
      <c r="HY366" s="108"/>
      <c r="HZ366" s="108"/>
      <c r="IA366" s="108"/>
      <c r="IB366" s="108"/>
      <c r="IC366" s="108"/>
      <c r="ID366" s="108"/>
      <c r="IE366" s="108"/>
      <c r="IF366" s="108"/>
      <c r="IG366" s="108"/>
      <c r="IH366" s="108"/>
      <c r="II366" s="108"/>
      <c r="IJ366" s="108"/>
      <c r="IK366" s="108"/>
      <c r="IL366" s="108"/>
      <c r="IM366" s="108"/>
      <c r="IN366" s="108"/>
      <c r="IO366" s="108"/>
      <c r="IP366" s="108"/>
      <c r="IQ366" s="108"/>
      <c r="IR366" s="108"/>
      <c r="IS366" s="108"/>
      <c r="IT366" s="108"/>
      <c r="IU366" s="108"/>
      <c r="IV366" s="108"/>
    </row>
    <row r="367" spans="1:256" ht="12.75">
      <c r="A367" t="s">
        <v>423</v>
      </c>
      <c r="B367" s="5">
        <f>B296+B357</f>
        <v>2.0468069461252565</v>
      </c>
      <c r="C367" s="5">
        <f>C296+C357</f>
        <v>0.7253142517991202</v>
      </c>
      <c r="D367" s="5">
        <f>D296+D357</f>
        <v>1.1278717681435078</v>
      </c>
      <c r="E367" s="5">
        <f>E296+E357</f>
        <v>2.7768388435503475</v>
      </c>
      <c r="F367" s="5">
        <f>F296+F357</f>
        <v>4.292816138489748</v>
      </c>
      <c r="G367" s="5">
        <f>G296+G357</f>
        <v>4.730148963106108</v>
      </c>
      <c r="H367" s="5">
        <f>H296+H357</f>
        <v>4.127091065664366</v>
      </c>
      <c r="I367" s="5">
        <f>I296+I357</f>
        <v>3.289140778228619</v>
      </c>
      <c r="J367" s="5">
        <f>J296+J357</f>
        <v>2.8365352812501796</v>
      </c>
      <c r="K367" s="5">
        <f>K296+K357</f>
        <v>2.673885699110201</v>
      </c>
      <c r="L367" s="5">
        <f>L296+L357</f>
        <v>2.427663189268011</v>
      </c>
      <c r="M367" s="5">
        <f>M296+M357</f>
        <v>2.0683458259661514</v>
      </c>
      <c r="N367" s="5">
        <f>N296+N357</f>
        <v>1.8839964226890444</v>
      </c>
      <c r="O367" s="5">
        <f>O296+O357</f>
        <v>1.9844702220819765</v>
      </c>
      <c r="P367" s="5">
        <f>P296+P357</f>
        <v>2.0864263459646115</v>
      </c>
      <c r="Q367" s="5">
        <f>Q296+Q357</f>
        <v>1.862887233254241</v>
      </c>
      <c r="R367" s="5">
        <f>R296+R357</f>
        <v>1.3694245821564084</v>
      </c>
      <c r="S367" s="5">
        <f>S296+S357</f>
        <v>0.9703588779514835</v>
      </c>
      <c r="T367" s="5">
        <f>T296+T357</f>
        <v>0.8845404138607097</v>
      </c>
      <c r="U367" s="5">
        <f>U296+U357</f>
        <v>1.0062756212116446</v>
      </c>
      <c r="V367" s="5">
        <f>V296+V357</f>
        <v>1.2444879312290376</v>
      </c>
      <c r="W367" s="5">
        <f>W296+W357</f>
        <v>1.8023791320060552</v>
      </c>
      <c r="X367" s="5">
        <f>X296+X357</f>
        <v>2.7464680056034707</v>
      </c>
      <c r="Y367" s="5">
        <f>Y296+Y357</f>
        <v>3.182078024911079</v>
      </c>
      <c r="Z367" s="5">
        <f>Z296+Z357</f>
        <v>2.0468069461252556</v>
      </c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  <c r="CW367" s="108"/>
      <c r="CX367" s="108"/>
      <c r="CY367" s="108"/>
      <c r="CZ367" s="108"/>
      <c r="DA367" s="108"/>
      <c r="DB367" s="108"/>
      <c r="DC367" s="108"/>
      <c r="DD367" s="108"/>
      <c r="DE367" s="108"/>
      <c r="DF367" s="108"/>
      <c r="DG367" s="108"/>
      <c r="DH367" s="108"/>
      <c r="DI367" s="108"/>
      <c r="DJ367" s="108"/>
      <c r="DK367" s="108"/>
      <c r="DL367" s="108"/>
      <c r="DM367" s="108"/>
      <c r="DN367" s="108"/>
      <c r="DO367" s="108"/>
      <c r="DP367" s="108"/>
      <c r="DQ367" s="108"/>
      <c r="DR367" s="108"/>
      <c r="DS367" s="108"/>
      <c r="DT367" s="108"/>
      <c r="DU367" s="108"/>
      <c r="DV367" s="108"/>
      <c r="DW367" s="108"/>
      <c r="DX367" s="108"/>
      <c r="DY367" s="108"/>
      <c r="DZ367" s="108"/>
      <c r="EA367" s="108"/>
      <c r="EB367" s="108"/>
      <c r="EC367" s="108"/>
      <c r="ED367" s="108"/>
      <c r="EE367" s="108"/>
      <c r="EF367" s="108"/>
      <c r="EG367" s="108"/>
      <c r="EH367" s="108"/>
      <c r="EI367" s="108"/>
      <c r="EJ367" s="108"/>
      <c r="EK367" s="108"/>
      <c r="EL367" s="108"/>
      <c r="EM367" s="108"/>
      <c r="EN367" s="108"/>
      <c r="EO367" s="108"/>
      <c r="EP367" s="108"/>
      <c r="EQ367" s="108"/>
      <c r="ER367" s="108"/>
      <c r="ES367" s="108"/>
      <c r="ET367" s="108"/>
      <c r="EU367" s="108"/>
      <c r="EV367" s="108"/>
      <c r="EW367" s="108"/>
      <c r="EX367" s="108"/>
      <c r="EY367" s="108"/>
      <c r="EZ367" s="108"/>
      <c r="FA367" s="108"/>
      <c r="FB367" s="108"/>
      <c r="FC367" s="108"/>
      <c r="FD367" s="108"/>
      <c r="FE367" s="108"/>
      <c r="FF367" s="108"/>
      <c r="FG367" s="108"/>
      <c r="FH367" s="108"/>
      <c r="FI367" s="108"/>
      <c r="FJ367" s="108"/>
      <c r="FK367" s="108"/>
      <c r="FL367" s="108"/>
      <c r="FM367" s="108"/>
      <c r="FN367" s="108"/>
      <c r="FO367" s="108"/>
      <c r="FP367" s="108"/>
      <c r="FQ367" s="108"/>
      <c r="FR367" s="108"/>
      <c r="FS367" s="108"/>
      <c r="FT367" s="108"/>
      <c r="FU367" s="108"/>
      <c r="FV367" s="108"/>
      <c r="FW367" s="108"/>
      <c r="FX367" s="108"/>
      <c r="FY367" s="108"/>
      <c r="FZ367" s="108"/>
      <c r="GA367" s="108"/>
      <c r="GB367" s="108"/>
      <c r="GC367" s="108"/>
      <c r="GD367" s="108"/>
      <c r="GE367" s="108"/>
      <c r="GF367" s="108"/>
      <c r="GG367" s="108"/>
      <c r="GH367" s="108"/>
      <c r="GI367" s="108"/>
      <c r="GJ367" s="108"/>
      <c r="GK367" s="108"/>
      <c r="GL367" s="108"/>
      <c r="GM367" s="108"/>
      <c r="GN367" s="108"/>
      <c r="GO367" s="108"/>
      <c r="GP367" s="108"/>
      <c r="GQ367" s="108"/>
      <c r="GR367" s="108"/>
      <c r="GS367" s="108"/>
      <c r="GT367" s="108"/>
      <c r="GU367" s="108"/>
      <c r="GV367" s="108"/>
      <c r="GW367" s="108"/>
      <c r="GX367" s="108"/>
      <c r="GY367" s="108"/>
      <c r="GZ367" s="108"/>
      <c r="HA367" s="108"/>
      <c r="HB367" s="108"/>
      <c r="HC367" s="108"/>
      <c r="HD367" s="108"/>
      <c r="HE367" s="108"/>
      <c r="HF367" s="108"/>
      <c r="HG367" s="108"/>
      <c r="HH367" s="108"/>
      <c r="HI367" s="108"/>
      <c r="HJ367" s="108"/>
      <c r="HK367" s="108"/>
      <c r="HL367" s="108"/>
      <c r="HM367" s="108"/>
      <c r="HN367" s="108"/>
      <c r="HO367" s="108"/>
      <c r="HP367" s="108"/>
      <c r="HQ367" s="108"/>
      <c r="HR367" s="108"/>
      <c r="HS367" s="108"/>
      <c r="HT367" s="108"/>
      <c r="HU367" s="108"/>
      <c r="HV367" s="108"/>
      <c r="HW367" s="108"/>
      <c r="HX367" s="108"/>
      <c r="HY367" s="108"/>
      <c r="HZ367" s="108"/>
      <c r="IA367" s="108"/>
      <c r="IB367" s="108"/>
      <c r="IC367" s="108"/>
      <c r="ID367" s="108"/>
      <c r="IE367" s="108"/>
      <c r="IF367" s="108"/>
      <c r="IG367" s="108"/>
      <c r="IH367" s="108"/>
      <c r="II367" s="108"/>
      <c r="IJ367" s="108"/>
      <c r="IK367" s="108"/>
      <c r="IL367" s="108"/>
      <c r="IM367" s="108"/>
      <c r="IN367" s="108"/>
      <c r="IO367" s="108"/>
      <c r="IP367" s="108"/>
      <c r="IQ367" s="108"/>
      <c r="IR367" s="108"/>
      <c r="IS367" s="108"/>
      <c r="IT367" s="108"/>
      <c r="IU367" s="108"/>
      <c r="IV367" s="108"/>
    </row>
    <row r="368" spans="1:256" ht="12.75">
      <c r="A368" t="s">
        <v>424</v>
      </c>
      <c r="B368" s="5">
        <f>B297+B358</f>
        <v>15.513094840098347</v>
      </c>
      <c r="C368" s="5">
        <f>C297+C358</f>
        <v>15.827527255144632</v>
      </c>
      <c r="D368" s="5">
        <f>D297+D358</f>
        <v>17.354836777617496</v>
      </c>
      <c r="E368" s="5">
        <f>E297+E358</f>
        <v>18.917912979977825</v>
      </c>
      <c r="F368" s="5">
        <f>F297+F358</f>
        <v>20.03381788610472</v>
      </c>
      <c r="G368" s="5">
        <f>G297+G358</f>
        <v>20.230786297205007</v>
      </c>
      <c r="H368" s="5">
        <f>H297+H358</f>
        <v>19.460102445906543</v>
      </c>
      <c r="I368" s="5">
        <f>I297+I358</f>
        <v>18.512372854067554</v>
      </c>
      <c r="J368" s="5">
        <f>J297+J358</f>
        <v>18.23913258012796</v>
      </c>
      <c r="K368" s="5">
        <f>K297+K358</f>
        <v>18.568176006527338</v>
      </c>
      <c r="L368" s="5">
        <f>L297+L358</f>
        <v>18.79716402560111</v>
      </c>
      <c r="M368" s="5">
        <f>M297+M358</f>
        <v>18.75481405712015</v>
      </c>
      <c r="N368" s="5">
        <f>N297+N358</f>
        <v>19.048426829538943</v>
      </c>
      <c r="O368" s="5">
        <f>O297+O358</f>
        <v>19.989680855857134</v>
      </c>
      <c r="P368" s="5">
        <f>P297+P358</f>
        <v>20.863541533008757</v>
      </c>
      <c r="Q368" s="5">
        <f>Q297+Q358</f>
        <v>20.747611745867186</v>
      </c>
      <c r="R368" s="5">
        <f>R297+R358</f>
        <v>19.74884270470916</v>
      </c>
      <c r="S368" s="5">
        <f>S297+S358</f>
        <v>18.86076856444846</v>
      </c>
      <c r="T368" s="5">
        <f>T297+T358</f>
        <v>18.66389016599485</v>
      </c>
      <c r="U368" s="5">
        <f>U297+U358</f>
        <v>18.754362527367523</v>
      </c>
      <c r="V368" s="5">
        <f>V297+V358</f>
        <v>18.611881493481853</v>
      </c>
      <c r="W368" s="5">
        <f>W297+W358</f>
        <v>18.359138675267367</v>
      </c>
      <c r="X368" s="5">
        <f>X297+X358</f>
        <v>18.014056036150645</v>
      </c>
      <c r="Y368" s="5">
        <f>Y297+Y358</f>
        <v>16.866706483719224</v>
      </c>
      <c r="Z368" s="5">
        <f>Z297+Z358</f>
        <v>15.513094840098343</v>
      </c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08"/>
      <c r="CY368" s="108"/>
      <c r="CZ368" s="108"/>
      <c r="DA368" s="108"/>
      <c r="DB368" s="108"/>
      <c r="DC368" s="108"/>
      <c r="DD368" s="108"/>
      <c r="DE368" s="108"/>
      <c r="DF368" s="108"/>
      <c r="DG368" s="108"/>
      <c r="DH368" s="108"/>
      <c r="DI368" s="108"/>
      <c r="DJ368" s="108"/>
      <c r="DK368" s="108"/>
      <c r="DL368" s="108"/>
      <c r="DM368" s="108"/>
      <c r="DN368" s="108"/>
      <c r="DO368" s="108"/>
      <c r="DP368" s="108"/>
      <c r="DQ368" s="108"/>
      <c r="DR368" s="108"/>
      <c r="DS368" s="108"/>
      <c r="DT368" s="108"/>
      <c r="DU368" s="108"/>
      <c r="DV368" s="108"/>
      <c r="DW368" s="108"/>
      <c r="DX368" s="108"/>
      <c r="DY368" s="108"/>
      <c r="DZ368" s="108"/>
      <c r="EA368" s="108"/>
      <c r="EB368" s="108"/>
      <c r="EC368" s="108"/>
      <c r="ED368" s="108"/>
      <c r="EE368" s="108"/>
      <c r="EF368" s="108"/>
      <c r="EG368" s="108"/>
      <c r="EH368" s="108"/>
      <c r="EI368" s="108"/>
      <c r="EJ368" s="108"/>
      <c r="EK368" s="108"/>
      <c r="EL368" s="108"/>
      <c r="EM368" s="108"/>
      <c r="EN368" s="108"/>
      <c r="EO368" s="108"/>
      <c r="EP368" s="108"/>
      <c r="EQ368" s="108"/>
      <c r="ER368" s="108"/>
      <c r="ES368" s="108"/>
      <c r="ET368" s="108"/>
      <c r="EU368" s="108"/>
      <c r="EV368" s="108"/>
      <c r="EW368" s="108"/>
      <c r="EX368" s="108"/>
      <c r="EY368" s="108"/>
      <c r="EZ368" s="108"/>
      <c r="FA368" s="108"/>
      <c r="FB368" s="108"/>
      <c r="FC368" s="108"/>
      <c r="FD368" s="108"/>
      <c r="FE368" s="108"/>
      <c r="FF368" s="108"/>
      <c r="FG368" s="108"/>
      <c r="FH368" s="108"/>
      <c r="FI368" s="108"/>
      <c r="FJ368" s="108"/>
      <c r="FK368" s="108"/>
      <c r="FL368" s="108"/>
      <c r="FM368" s="108"/>
      <c r="FN368" s="108"/>
      <c r="FO368" s="108"/>
      <c r="FP368" s="108"/>
      <c r="FQ368" s="108"/>
      <c r="FR368" s="108"/>
      <c r="FS368" s="108"/>
      <c r="FT368" s="108"/>
      <c r="FU368" s="108"/>
      <c r="FV368" s="108"/>
      <c r="FW368" s="108"/>
      <c r="FX368" s="108"/>
      <c r="FY368" s="108"/>
      <c r="FZ368" s="108"/>
      <c r="GA368" s="108"/>
      <c r="GB368" s="108"/>
      <c r="GC368" s="108"/>
      <c r="GD368" s="108"/>
      <c r="GE368" s="108"/>
      <c r="GF368" s="108"/>
      <c r="GG368" s="108"/>
      <c r="GH368" s="108"/>
      <c r="GI368" s="108"/>
      <c r="GJ368" s="108"/>
      <c r="GK368" s="108"/>
      <c r="GL368" s="108"/>
      <c r="GM368" s="108"/>
      <c r="GN368" s="108"/>
      <c r="GO368" s="108"/>
      <c r="GP368" s="108"/>
      <c r="GQ368" s="108"/>
      <c r="GR368" s="108"/>
      <c r="GS368" s="108"/>
      <c r="GT368" s="108"/>
      <c r="GU368" s="108"/>
      <c r="GV368" s="108"/>
      <c r="GW368" s="108"/>
      <c r="GX368" s="108"/>
      <c r="GY368" s="108"/>
      <c r="GZ368" s="108"/>
      <c r="HA368" s="108"/>
      <c r="HB368" s="108"/>
      <c r="HC368" s="108"/>
      <c r="HD368" s="108"/>
      <c r="HE368" s="108"/>
      <c r="HF368" s="108"/>
      <c r="HG368" s="108"/>
      <c r="HH368" s="108"/>
      <c r="HI368" s="108"/>
      <c r="HJ368" s="108"/>
      <c r="HK368" s="108"/>
      <c r="HL368" s="108"/>
      <c r="HM368" s="108"/>
      <c r="HN368" s="108"/>
      <c r="HO368" s="108"/>
      <c r="HP368" s="108"/>
      <c r="HQ368" s="108"/>
      <c r="HR368" s="108"/>
      <c r="HS368" s="108"/>
      <c r="HT368" s="108"/>
      <c r="HU368" s="108"/>
      <c r="HV368" s="108"/>
      <c r="HW368" s="108"/>
      <c r="HX368" s="108"/>
      <c r="HY368" s="108"/>
      <c r="HZ368" s="108"/>
      <c r="IA368" s="108"/>
      <c r="IB368" s="108"/>
      <c r="IC368" s="108"/>
      <c r="ID368" s="108"/>
      <c r="IE368" s="108"/>
      <c r="IF368" s="108"/>
      <c r="IG368" s="108"/>
      <c r="IH368" s="108"/>
      <c r="II368" s="108"/>
      <c r="IJ368" s="108"/>
      <c r="IK368" s="108"/>
      <c r="IL368" s="108"/>
      <c r="IM368" s="108"/>
      <c r="IN368" s="108"/>
      <c r="IO368" s="108"/>
      <c r="IP368" s="108"/>
      <c r="IQ368" s="108"/>
      <c r="IR368" s="108"/>
      <c r="IS368" s="108"/>
      <c r="IT368" s="108"/>
      <c r="IU368" s="108"/>
      <c r="IV368" s="108"/>
    </row>
    <row r="369" spans="1:256" ht="12.75">
      <c r="A369" t="s">
        <v>317</v>
      </c>
      <c r="B369" s="5">
        <f>B367*B66+B368*B67-(B228+B229+B236+B237)-B266</f>
        <v>0</v>
      </c>
      <c r="C369" s="5">
        <f>C367*C66+C368*C67-(C228+C229+C236+C237)-C266</f>
        <v>0</v>
      </c>
      <c r="D369" s="5">
        <f>D367*D66+D368*D67-(D228+D229+D236+D237)-D266</f>
        <v>0</v>
      </c>
      <c r="E369" s="5">
        <f>E367*E66+E368*E67-(E228+E229+E236+E237)-E266</f>
        <v>0</v>
      </c>
      <c r="F369" s="5">
        <f>F367*F66+F368*F67-(F228+F229+F236+F237)-F266</f>
        <v>0</v>
      </c>
      <c r="G369" s="5">
        <f>G367*G66+G368*G67-(G228+G229+G236+G237)-G266</f>
        <v>0</v>
      </c>
      <c r="H369" s="5">
        <f>H367*H66+H368*H67-(H228+H229+H236+H237)-H266</f>
        <v>0</v>
      </c>
      <c r="I369" s="5">
        <f>I367*I66+I368*I67-(I228+I229+I236+I237)-I266</f>
        <v>0</v>
      </c>
      <c r="J369" s="5">
        <f>J367*J66+J368*J67-(J228+J229+J236+J237)-J266</f>
        <v>-1.6653345369377348E-15</v>
      </c>
      <c r="K369" s="5">
        <f>K367*K66+K368*K67-(K228+K229+K236+K237)-K266</f>
        <v>-1.7763568394002505E-15</v>
      </c>
      <c r="L369" s="5">
        <f>L367*L66+L368*L67-(L228+L229+L236+L237)-L266</f>
        <v>-1.0269562977782698E-15</v>
      </c>
      <c r="M369" s="5">
        <f>M367*M66+M368*M67-(M228+M229+M236+M237)-M266</f>
        <v>0</v>
      </c>
      <c r="N369" s="5">
        <f>N367*N66+N368*N67-(N228+N229+N236+N237)-N266</f>
        <v>0</v>
      </c>
      <c r="O369" s="5">
        <f>O367*O66+O368*O67-(O228+O229+O236+O237)-O266</f>
        <v>-8.326672684688674E-16</v>
      </c>
      <c r="P369" s="5">
        <f>P367*P66+P368*P67-(P228+P229+P236+P237)-P266</f>
        <v>1.887379141862766E-15</v>
      </c>
      <c r="Q369" s="5">
        <f>Q367*Q66+Q368*Q67-(Q228+Q229+Q236+Q237)-Q266</f>
        <v>1.8596235662471372E-15</v>
      </c>
      <c r="R369" s="5">
        <f>R367*R66+R368*R67-(R228+R229+R236+R237)-R266</f>
        <v>-4.440892098500626E-16</v>
      </c>
      <c r="S369" s="5">
        <f>S367*S66+S368*S67-(S228+S229+S236+S237)-S266</f>
        <v>0</v>
      </c>
      <c r="T369" s="5">
        <f>T367*T66+T368*T67-(T228+T229+T236+T237)-T266</f>
        <v>2.7755575615628914E-16</v>
      </c>
      <c r="U369" s="5">
        <f>U367*U66+U368*U67-(U228+U229+U236+U237)-U266</f>
        <v>0</v>
      </c>
      <c r="V369" s="5">
        <f>V367*V66+V368*V67-(V228+V229+V236+V237)-V266</f>
        <v>0</v>
      </c>
      <c r="W369" s="5">
        <f>W367*W66+W368*W67-(W228+W229+W236+W237)-W266</f>
        <v>0</v>
      </c>
      <c r="X369" s="5">
        <f>X367*X66+X368*X67-(X228+X229+X236+X237)-X266</f>
        <v>0</v>
      </c>
      <c r="Y369" s="5">
        <f>Y367*Y66+Y368*Y67-(Y228+Y229+Y236+Y237)-Y266</f>
        <v>0</v>
      </c>
      <c r="Z369" s="5">
        <f>Z367*Z66+Z368*Z67-(Z228+Z229+Z236+Z237)-Z266</f>
        <v>4.440892098500626E-15</v>
      </c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  <c r="DP369" s="108"/>
      <c r="DQ369" s="108"/>
      <c r="DR369" s="108"/>
      <c r="DS369" s="108"/>
      <c r="DT369" s="108"/>
      <c r="DU369" s="108"/>
      <c r="DV369" s="108"/>
      <c r="DW369" s="108"/>
      <c r="DX369" s="108"/>
      <c r="DY369" s="108"/>
      <c r="DZ369" s="108"/>
      <c r="EA369" s="108"/>
      <c r="EB369" s="108"/>
      <c r="EC369" s="108"/>
      <c r="ED369" s="108"/>
      <c r="EE369" s="108"/>
      <c r="EF369" s="108"/>
      <c r="EG369" s="108"/>
      <c r="EH369" s="108"/>
      <c r="EI369" s="108"/>
      <c r="EJ369" s="108"/>
      <c r="EK369" s="108"/>
      <c r="EL369" s="108"/>
      <c r="EM369" s="108"/>
      <c r="EN369" s="108"/>
      <c r="EO369" s="108"/>
      <c r="EP369" s="108"/>
      <c r="EQ369" s="108"/>
      <c r="ER369" s="108"/>
      <c r="ES369" s="108"/>
      <c r="ET369" s="108"/>
      <c r="EU369" s="108"/>
      <c r="EV369" s="108"/>
      <c r="EW369" s="108"/>
      <c r="EX369" s="108"/>
      <c r="EY369" s="108"/>
      <c r="EZ369" s="108"/>
      <c r="FA369" s="108"/>
      <c r="FB369" s="108"/>
      <c r="FC369" s="108"/>
      <c r="FD369" s="108"/>
      <c r="FE369" s="108"/>
      <c r="FF369" s="108"/>
      <c r="FG369" s="108"/>
      <c r="FH369" s="108"/>
      <c r="FI369" s="108"/>
      <c r="FJ369" s="108"/>
      <c r="FK369" s="108"/>
      <c r="FL369" s="108"/>
      <c r="FM369" s="108"/>
      <c r="FN369" s="108"/>
      <c r="FO369" s="108"/>
      <c r="FP369" s="108"/>
      <c r="FQ369" s="108"/>
      <c r="FR369" s="108"/>
      <c r="FS369" s="108"/>
      <c r="FT369" s="108"/>
      <c r="FU369" s="108"/>
      <c r="FV369" s="108"/>
      <c r="FW369" s="108"/>
      <c r="FX369" s="108"/>
      <c r="FY369" s="108"/>
      <c r="FZ369" s="108"/>
      <c r="GA369" s="108"/>
      <c r="GB369" s="108"/>
      <c r="GC369" s="108"/>
      <c r="GD369" s="108"/>
      <c r="GE369" s="108"/>
      <c r="GF369" s="108"/>
      <c r="GG369" s="108"/>
      <c r="GH369" s="108"/>
      <c r="GI369" s="108"/>
      <c r="GJ369" s="108"/>
      <c r="GK369" s="108"/>
      <c r="GL369" s="108"/>
      <c r="GM369" s="108"/>
      <c r="GN369" s="108"/>
      <c r="GO369" s="108"/>
      <c r="GP369" s="108"/>
      <c r="GQ369" s="108"/>
      <c r="GR369" s="108"/>
      <c r="GS369" s="108"/>
      <c r="GT369" s="108"/>
      <c r="GU369" s="108"/>
      <c r="GV369" s="108"/>
      <c r="GW369" s="108"/>
      <c r="GX369" s="108"/>
      <c r="GY369" s="108"/>
      <c r="GZ369" s="108"/>
      <c r="HA369" s="108"/>
      <c r="HB369" s="108"/>
      <c r="HC369" s="108"/>
      <c r="HD369" s="108"/>
      <c r="HE369" s="108"/>
      <c r="HF369" s="108"/>
      <c r="HG369" s="108"/>
      <c r="HH369" s="108"/>
      <c r="HI369" s="108"/>
      <c r="HJ369" s="108"/>
      <c r="HK369" s="108"/>
      <c r="HL369" s="108"/>
      <c r="HM369" s="108"/>
      <c r="HN369" s="108"/>
      <c r="HO369" s="108"/>
      <c r="HP369" s="108"/>
      <c r="HQ369" s="108"/>
      <c r="HR369" s="108"/>
      <c r="HS369" s="108"/>
      <c r="HT369" s="108"/>
      <c r="HU369" s="108"/>
      <c r="HV369" s="108"/>
      <c r="HW369" s="108"/>
      <c r="HX369" s="108"/>
      <c r="HY369" s="108"/>
      <c r="HZ369" s="108"/>
      <c r="IA369" s="108"/>
      <c r="IB369" s="108"/>
      <c r="IC369" s="108"/>
      <c r="ID369" s="108"/>
      <c r="IE369" s="108"/>
      <c r="IF369" s="108"/>
      <c r="IG369" s="108"/>
      <c r="IH369" s="108"/>
      <c r="II369" s="108"/>
      <c r="IJ369" s="108"/>
      <c r="IK369" s="108"/>
      <c r="IL369" s="108"/>
      <c r="IM369" s="108"/>
      <c r="IN369" s="108"/>
      <c r="IO369" s="108"/>
      <c r="IP369" s="108"/>
      <c r="IQ369" s="108"/>
      <c r="IR369" s="108"/>
      <c r="IS369" s="108"/>
      <c r="IT369" s="108"/>
      <c r="IU369" s="108"/>
      <c r="IV369" s="108"/>
    </row>
    <row r="370" spans="2:256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08"/>
      <c r="CY370" s="108"/>
      <c r="CZ370" s="108"/>
      <c r="DA370" s="108"/>
      <c r="DB370" s="108"/>
      <c r="DC370" s="108"/>
      <c r="DD370" s="108"/>
      <c r="DE370" s="108"/>
      <c r="DF370" s="108"/>
      <c r="DG370" s="108"/>
      <c r="DH370" s="108"/>
      <c r="DI370" s="108"/>
      <c r="DJ370" s="108"/>
      <c r="DK370" s="108"/>
      <c r="DL370" s="108"/>
      <c r="DM370" s="108"/>
      <c r="DN370" s="108"/>
      <c r="DO370" s="108"/>
      <c r="DP370" s="108"/>
      <c r="DQ370" s="108"/>
      <c r="DR370" s="108"/>
      <c r="DS370" s="108"/>
      <c r="DT370" s="108"/>
      <c r="DU370" s="108"/>
      <c r="DV370" s="108"/>
      <c r="DW370" s="108"/>
      <c r="DX370" s="108"/>
      <c r="DY370" s="108"/>
      <c r="DZ370" s="108"/>
      <c r="EA370" s="108"/>
      <c r="EB370" s="108"/>
      <c r="EC370" s="108"/>
      <c r="ED370" s="108"/>
      <c r="EE370" s="108"/>
      <c r="EF370" s="108"/>
      <c r="EG370" s="108"/>
      <c r="EH370" s="108"/>
      <c r="EI370" s="108"/>
      <c r="EJ370" s="108"/>
      <c r="EK370" s="108"/>
      <c r="EL370" s="108"/>
      <c r="EM370" s="108"/>
      <c r="EN370" s="108"/>
      <c r="EO370" s="108"/>
      <c r="EP370" s="108"/>
      <c r="EQ370" s="108"/>
      <c r="ER370" s="108"/>
      <c r="ES370" s="108"/>
      <c r="ET370" s="108"/>
      <c r="EU370" s="108"/>
      <c r="EV370" s="108"/>
      <c r="EW370" s="108"/>
      <c r="EX370" s="108"/>
      <c r="EY370" s="108"/>
      <c r="EZ370" s="108"/>
      <c r="FA370" s="108"/>
      <c r="FB370" s="108"/>
      <c r="FC370" s="108"/>
      <c r="FD370" s="108"/>
      <c r="FE370" s="108"/>
      <c r="FF370" s="108"/>
      <c r="FG370" s="108"/>
      <c r="FH370" s="108"/>
      <c r="FI370" s="108"/>
      <c r="FJ370" s="108"/>
      <c r="FK370" s="108"/>
      <c r="FL370" s="108"/>
      <c r="FM370" s="108"/>
      <c r="FN370" s="108"/>
      <c r="FO370" s="108"/>
      <c r="FP370" s="108"/>
      <c r="FQ370" s="108"/>
      <c r="FR370" s="108"/>
      <c r="FS370" s="108"/>
      <c r="FT370" s="108"/>
      <c r="FU370" s="108"/>
      <c r="FV370" s="108"/>
      <c r="FW370" s="108"/>
      <c r="FX370" s="108"/>
      <c r="FY370" s="108"/>
      <c r="FZ370" s="108"/>
      <c r="GA370" s="108"/>
      <c r="GB370" s="108"/>
      <c r="GC370" s="108"/>
      <c r="GD370" s="108"/>
      <c r="GE370" s="108"/>
      <c r="GF370" s="108"/>
      <c r="GG370" s="108"/>
      <c r="GH370" s="108"/>
      <c r="GI370" s="108"/>
      <c r="GJ370" s="108"/>
      <c r="GK370" s="108"/>
      <c r="GL370" s="108"/>
      <c r="GM370" s="108"/>
      <c r="GN370" s="108"/>
      <c r="GO370" s="108"/>
      <c r="GP370" s="108"/>
      <c r="GQ370" s="108"/>
      <c r="GR370" s="108"/>
      <c r="GS370" s="108"/>
      <c r="GT370" s="108"/>
      <c r="GU370" s="108"/>
      <c r="GV370" s="108"/>
      <c r="GW370" s="108"/>
      <c r="GX370" s="108"/>
      <c r="GY370" s="108"/>
      <c r="GZ370" s="108"/>
      <c r="HA370" s="108"/>
      <c r="HB370" s="108"/>
      <c r="HC370" s="108"/>
      <c r="HD370" s="108"/>
      <c r="HE370" s="108"/>
      <c r="HF370" s="108"/>
      <c r="HG370" s="108"/>
      <c r="HH370" s="108"/>
      <c r="HI370" s="108"/>
      <c r="HJ370" s="108"/>
      <c r="HK370" s="108"/>
      <c r="HL370" s="108"/>
      <c r="HM370" s="108"/>
      <c r="HN370" s="108"/>
      <c r="HO370" s="108"/>
      <c r="HP370" s="108"/>
      <c r="HQ370" s="108"/>
      <c r="HR370" s="108"/>
      <c r="HS370" s="108"/>
      <c r="HT370" s="108"/>
      <c r="HU370" s="108"/>
      <c r="HV370" s="108"/>
      <c r="HW370" s="108"/>
      <c r="HX370" s="108"/>
      <c r="HY370" s="108"/>
      <c r="HZ370" s="108"/>
      <c r="IA370" s="108"/>
      <c r="IB370" s="108"/>
      <c r="IC370" s="108"/>
      <c r="ID370" s="108"/>
      <c r="IE370" s="108"/>
      <c r="IF370" s="108"/>
      <c r="IG370" s="108"/>
      <c r="IH370" s="108"/>
      <c r="II370" s="108"/>
      <c r="IJ370" s="108"/>
      <c r="IK370" s="108"/>
      <c r="IL370" s="108"/>
      <c r="IM370" s="108"/>
      <c r="IN370" s="108"/>
      <c r="IO370" s="108"/>
      <c r="IP370" s="108"/>
      <c r="IQ370" s="108"/>
      <c r="IR370" s="108"/>
      <c r="IS370" s="108"/>
      <c r="IT370" s="108"/>
      <c r="IU370" s="108"/>
      <c r="IV370" s="108"/>
    </row>
    <row r="371" spans="1:256" ht="12.75">
      <c r="A371" t="s">
        <v>425</v>
      </c>
      <c r="B371" s="5"/>
      <c r="C371" s="5"/>
      <c r="D371" s="5" t="s">
        <v>426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08"/>
      <c r="CY371" s="108"/>
      <c r="CZ371" s="108"/>
      <c r="DA371" s="108"/>
      <c r="DB371" s="108"/>
      <c r="DC371" s="108"/>
      <c r="DD371" s="108"/>
      <c r="DE371" s="108"/>
      <c r="DF371" s="108"/>
      <c r="DG371" s="108"/>
      <c r="DH371" s="108"/>
      <c r="DI371" s="108"/>
      <c r="DJ371" s="108"/>
      <c r="DK371" s="108"/>
      <c r="DL371" s="108"/>
      <c r="DM371" s="108"/>
      <c r="DN371" s="108"/>
      <c r="DO371" s="108"/>
      <c r="DP371" s="108"/>
      <c r="DQ371" s="108"/>
      <c r="DR371" s="108"/>
      <c r="DS371" s="108"/>
      <c r="DT371" s="108"/>
      <c r="DU371" s="108"/>
      <c r="DV371" s="108"/>
      <c r="DW371" s="108"/>
      <c r="DX371" s="108"/>
      <c r="DY371" s="108"/>
      <c r="DZ371" s="108"/>
      <c r="EA371" s="108"/>
      <c r="EB371" s="108"/>
      <c r="EC371" s="108"/>
      <c r="ED371" s="108"/>
      <c r="EE371" s="108"/>
      <c r="EF371" s="108"/>
      <c r="EG371" s="108"/>
      <c r="EH371" s="108"/>
      <c r="EI371" s="108"/>
      <c r="EJ371" s="108"/>
      <c r="EK371" s="108"/>
      <c r="EL371" s="108"/>
      <c r="EM371" s="108"/>
      <c r="EN371" s="108"/>
      <c r="EO371" s="108"/>
      <c r="EP371" s="108"/>
      <c r="EQ371" s="108"/>
      <c r="ER371" s="108"/>
      <c r="ES371" s="108"/>
      <c r="ET371" s="108"/>
      <c r="EU371" s="108"/>
      <c r="EV371" s="108"/>
      <c r="EW371" s="108"/>
      <c r="EX371" s="108"/>
      <c r="EY371" s="108"/>
      <c r="EZ371" s="108"/>
      <c r="FA371" s="108"/>
      <c r="FB371" s="108"/>
      <c r="FC371" s="108"/>
      <c r="FD371" s="108"/>
      <c r="FE371" s="108"/>
      <c r="FF371" s="108"/>
      <c r="FG371" s="108"/>
      <c r="FH371" s="108"/>
      <c r="FI371" s="108"/>
      <c r="FJ371" s="108"/>
      <c r="FK371" s="108"/>
      <c r="FL371" s="108"/>
      <c r="FM371" s="108"/>
      <c r="FN371" s="108"/>
      <c r="FO371" s="108"/>
      <c r="FP371" s="108"/>
      <c r="FQ371" s="108"/>
      <c r="FR371" s="108"/>
      <c r="FS371" s="108"/>
      <c r="FT371" s="108"/>
      <c r="FU371" s="108"/>
      <c r="FV371" s="108"/>
      <c r="FW371" s="108"/>
      <c r="FX371" s="108"/>
      <c r="FY371" s="108"/>
      <c r="FZ371" s="108"/>
      <c r="GA371" s="108"/>
      <c r="GB371" s="108"/>
      <c r="GC371" s="108"/>
      <c r="GD371" s="108"/>
      <c r="GE371" s="108"/>
      <c r="GF371" s="108"/>
      <c r="GG371" s="108"/>
      <c r="GH371" s="108"/>
      <c r="GI371" s="108"/>
      <c r="GJ371" s="108"/>
      <c r="GK371" s="108"/>
      <c r="GL371" s="108"/>
      <c r="GM371" s="108"/>
      <c r="GN371" s="108"/>
      <c r="GO371" s="108"/>
      <c r="GP371" s="108"/>
      <c r="GQ371" s="108"/>
      <c r="GR371" s="108"/>
      <c r="GS371" s="108"/>
      <c r="GT371" s="108"/>
      <c r="GU371" s="108"/>
      <c r="GV371" s="108"/>
      <c r="GW371" s="108"/>
      <c r="GX371" s="108"/>
      <c r="GY371" s="108"/>
      <c r="GZ371" s="108"/>
      <c r="HA371" s="108"/>
      <c r="HB371" s="108"/>
      <c r="HC371" s="108"/>
      <c r="HD371" s="108"/>
      <c r="HE371" s="108"/>
      <c r="HF371" s="108"/>
      <c r="HG371" s="108"/>
      <c r="HH371" s="108"/>
      <c r="HI371" s="108"/>
      <c r="HJ371" s="108"/>
      <c r="HK371" s="108"/>
      <c r="HL371" s="108"/>
      <c r="HM371" s="108"/>
      <c r="HN371" s="108"/>
      <c r="HO371" s="108"/>
      <c r="HP371" s="108"/>
      <c r="HQ371" s="108"/>
      <c r="HR371" s="108"/>
      <c r="HS371" s="108"/>
      <c r="HT371" s="108"/>
      <c r="HU371" s="108"/>
      <c r="HV371" s="108"/>
      <c r="HW371" s="108"/>
      <c r="HX371" s="108"/>
      <c r="HY371" s="108"/>
      <c r="HZ371" s="108"/>
      <c r="IA371" s="108"/>
      <c r="IB371" s="108"/>
      <c r="IC371" s="108"/>
      <c r="ID371" s="108"/>
      <c r="IE371" s="108"/>
      <c r="IF371" s="108"/>
      <c r="IG371" s="108"/>
      <c r="IH371" s="108"/>
      <c r="II371" s="108"/>
      <c r="IJ371" s="108"/>
      <c r="IK371" s="108"/>
      <c r="IL371" s="108"/>
      <c r="IM371" s="108"/>
      <c r="IN371" s="108"/>
      <c r="IO371" s="108"/>
      <c r="IP371" s="108"/>
      <c r="IQ371" s="108"/>
      <c r="IR371" s="108"/>
      <c r="IS371" s="108"/>
      <c r="IT371" s="108"/>
      <c r="IU371" s="108"/>
      <c r="IV371" s="108"/>
    </row>
    <row r="372" spans="1:256" ht="12.75">
      <c r="A372" t="s">
        <v>427</v>
      </c>
      <c r="B372" s="5">
        <f>-B310/$B$9*SIN(B37)</f>
        <v>-0.26523266339717244</v>
      </c>
      <c r="C372" s="5">
        <f>-C310/$B$9*SIN(C37)</f>
        <v>0.27101128217077286</v>
      </c>
      <c r="D372" s="5">
        <f>-D310/$B$9*SIN(D37)</f>
        <v>0.6779516178075928</v>
      </c>
      <c r="E372" s="5">
        <f>-E310/$B$9*SIN(E37)</f>
        <v>0.8853787897774371</v>
      </c>
      <c r="F372" s="5">
        <f>-F310/$B$9*SIN(F37)</f>
        <v>0.8508710382703565</v>
      </c>
      <c r="G372" s="5">
        <f>-G310/$B$9*SIN(G37)</f>
        <v>0.5779021532912669</v>
      </c>
      <c r="H372" s="5">
        <f>-H310/$B$9*SIN(H37)</f>
        <v>0.1729122925037249</v>
      </c>
      <c r="I372" s="5">
        <f>-I310/$B$9*SIN(I37)</f>
        <v>-0.2296160030600398</v>
      </c>
      <c r="J372" s="5">
        <f>-J310/$B$9*SIN(J37)</f>
        <v>-0.5774285379784803</v>
      </c>
      <c r="K372" s="5">
        <f>-K310/$B$9*SIN(K37)</f>
        <v>-0.870219676336899</v>
      </c>
      <c r="L372" s="5">
        <f>-L310/$B$9*SIN(L37)</f>
        <v>-1.096017314644584</v>
      </c>
      <c r="M372" s="5">
        <f>-M310/$B$9*SIN(M37)</f>
        <v>-1.2494357898584285</v>
      </c>
      <c r="N372" s="5">
        <f>-N310/$B$9*SIN(N37)</f>
        <v>-1.349772619337717</v>
      </c>
      <c r="O372" s="5">
        <f>-O310/$B$9*SIN(O37)</f>
        <v>-1.4122940584257506</v>
      </c>
      <c r="P372" s="5">
        <f>-P310/$B$9*SIN(P37)</f>
        <v>-1.4377255529017285</v>
      </c>
      <c r="Q372" s="5">
        <f>-Q310/$B$9*SIN(Q37)</f>
        <v>-1.4329389455115387</v>
      </c>
      <c r="R372" s="5">
        <f>-R310/$B$9*SIN(R37)</f>
        <v>-1.4160388964179755</v>
      </c>
      <c r="S372" s="5">
        <f>-S310/$B$9*SIN(S37)</f>
        <v>-1.401447811559359</v>
      </c>
      <c r="T372" s="5">
        <f>-T310/$B$9*SIN(T37)</f>
        <v>-1.3928149163931032</v>
      </c>
      <c r="U372" s="5">
        <f>-U310/$B$9*SIN(U37)</f>
        <v>-1.3857742123486385</v>
      </c>
      <c r="V372" s="5">
        <f>-V310/$B$9*SIN(V37)</f>
        <v>-1.365606368293166</v>
      </c>
      <c r="W372" s="5">
        <f>-W310/$B$9*SIN(W37)</f>
        <v>-1.2996798115594757</v>
      </c>
      <c r="X372" s="5">
        <f>-X310/$B$9*SIN(X37)</f>
        <v>-1.1311601608455026</v>
      </c>
      <c r="Y372" s="5">
        <f>-Y310/$B$9*SIN(Y37)</f>
        <v>-0.7854096941587447</v>
      </c>
      <c r="Z372" s="5">
        <f>-Z310/$B$9*SIN(Z37)</f>
        <v>-0.26523266339717194</v>
      </c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08"/>
      <c r="CY372" s="108"/>
      <c r="CZ372" s="108"/>
      <c r="DA372" s="108"/>
      <c r="DB372" s="108"/>
      <c r="DC372" s="108"/>
      <c r="DD372" s="108"/>
      <c r="DE372" s="108"/>
      <c r="DF372" s="108"/>
      <c r="DG372" s="108"/>
      <c r="DH372" s="108"/>
      <c r="DI372" s="108"/>
      <c r="DJ372" s="108"/>
      <c r="DK372" s="108"/>
      <c r="DL372" s="108"/>
      <c r="DM372" s="108"/>
      <c r="DN372" s="108"/>
      <c r="DO372" s="108"/>
      <c r="DP372" s="108"/>
      <c r="DQ372" s="108"/>
      <c r="DR372" s="108"/>
      <c r="DS372" s="108"/>
      <c r="DT372" s="108"/>
      <c r="DU372" s="108"/>
      <c r="DV372" s="108"/>
      <c r="DW372" s="108"/>
      <c r="DX372" s="108"/>
      <c r="DY372" s="108"/>
      <c r="DZ372" s="108"/>
      <c r="EA372" s="108"/>
      <c r="EB372" s="108"/>
      <c r="EC372" s="108"/>
      <c r="ED372" s="108"/>
      <c r="EE372" s="108"/>
      <c r="EF372" s="108"/>
      <c r="EG372" s="108"/>
      <c r="EH372" s="108"/>
      <c r="EI372" s="108"/>
      <c r="EJ372" s="108"/>
      <c r="EK372" s="108"/>
      <c r="EL372" s="108"/>
      <c r="EM372" s="108"/>
      <c r="EN372" s="108"/>
      <c r="EO372" s="108"/>
      <c r="EP372" s="108"/>
      <c r="EQ372" s="108"/>
      <c r="ER372" s="108"/>
      <c r="ES372" s="108"/>
      <c r="ET372" s="108"/>
      <c r="EU372" s="108"/>
      <c r="EV372" s="108"/>
      <c r="EW372" s="108"/>
      <c r="EX372" s="108"/>
      <c r="EY372" s="108"/>
      <c r="EZ372" s="108"/>
      <c r="FA372" s="108"/>
      <c r="FB372" s="108"/>
      <c r="FC372" s="108"/>
      <c r="FD372" s="108"/>
      <c r="FE372" s="108"/>
      <c r="FF372" s="108"/>
      <c r="FG372" s="108"/>
      <c r="FH372" s="108"/>
      <c r="FI372" s="108"/>
      <c r="FJ372" s="108"/>
      <c r="FK372" s="108"/>
      <c r="FL372" s="108"/>
      <c r="FM372" s="108"/>
      <c r="FN372" s="108"/>
      <c r="FO372" s="108"/>
      <c r="FP372" s="108"/>
      <c r="FQ372" s="108"/>
      <c r="FR372" s="108"/>
      <c r="FS372" s="108"/>
      <c r="FT372" s="108"/>
      <c r="FU372" s="108"/>
      <c r="FV372" s="108"/>
      <c r="FW372" s="108"/>
      <c r="FX372" s="108"/>
      <c r="FY372" s="108"/>
      <c r="FZ372" s="108"/>
      <c r="GA372" s="108"/>
      <c r="GB372" s="108"/>
      <c r="GC372" s="108"/>
      <c r="GD372" s="108"/>
      <c r="GE372" s="108"/>
      <c r="GF372" s="108"/>
      <c r="GG372" s="108"/>
      <c r="GH372" s="108"/>
      <c r="GI372" s="108"/>
      <c r="GJ372" s="108"/>
      <c r="GK372" s="108"/>
      <c r="GL372" s="108"/>
      <c r="GM372" s="108"/>
      <c r="GN372" s="108"/>
      <c r="GO372" s="108"/>
      <c r="GP372" s="108"/>
      <c r="GQ372" s="108"/>
      <c r="GR372" s="108"/>
      <c r="GS372" s="108"/>
      <c r="GT372" s="108"/>
      <c r="GU372" s="108"/>
      <c r="GV372" s="108"/>
      <c r="GW372" s="108"/>
      <c r="GX372" s="108"/>
      <c r="GY372" s="108"/>
      <c r="GZ372" s="108"/>
      <c r="HA372" s="108"/>
      <c r="HB372" s="108"/>
      <c r="HC372" s="108"/>
      <c r="HD372" s="108"/>
      <c r="HE372" s="108"/>
      <c r="HF372" s="108"/>
      <c r="HG372" s="108"/>
      <c r="HH372" s="108"/>
      <c r="HI372" s="108"/>
      <c r="HJ372" s="108"/>
      <c r="HK372" s="108"/>
      <c r="HL372" s="108"/>
      <c r="HM372" s="108"/>
      <c r="HN372" s="108"/>
      <c r="HO372" s="108"/>
      <c r="HP372" s="108"/>
      <c r="HQ372" s="108"/>
      <c r="HR372" s="108"/>
      <c r="HS372" s="108"/>
      <c r="HT372" s="108"/>
      <c r="HU372" s="108"/>
      <c r="HV372" s="108"/>
      <c r="HW372" s="108"/>
      <c r="HX372" s="108"/>
      <c r="HY372" s="108"/>
      <c r="HZ372" s="108"/>
      <c r="IA372" s="108"/>
      <c r="IB372" s="108"/>
      <c r="IC372" s="108"/>
      <c r="ID372" s="108"/>
      <c r="IE372" s="108"/>
      <c r="IF372" s="108"/>
      <c r="IG372" s="108"/>
      <c r="IH372" s="108"/>
      <c r="II372" s="108"/>
      <c r="IJ372" s="108"/>
      <c r="IK372" s="108"/>
      <c r="IL372" s="108"/>
      <c r="IM372" s="108"/>
      <c r="IN372" s="108"/>
      <c r="IO372" s="108"/>
      <c r="IP372" s="108"/>
      <c r="IQ372" s="108"/>
      <c r="IR372" s="108"/>
      <c r="IS372" s="108"/>
      <c r="IT372" s="108"/>
      <c r="IU372" s="108"/>
      <c r="IV372" s="108"/>
    </row>
    <row r="373" spans="1:256" ht="12.75">
      <c r="A373" t="s">
        <v>428</v>
      </c>
      <c r="B373" s="5">
        <f>B310/$B$9*COS(B37)</f>
        <v>-0.06268403206477619</v>
      </c>
      <c r="C373" s="5">
        <f>C310/$B$9*COS(C37)</f>
        <v>0.02089855935521959</v>
      </c>
      <c r="D373" s="5">
        <f>D310/$B$9*COS(D37)</f>
        <v>-0.01843777009623463</v>
      </c>
      <c r="E373" s="5">
        <f>E310/$B$9*COS(E37)</f>
        <v>-0.06320856128776799</v>
      </c>
      <c r="F373" s="5">
        <f>F310/$B$9*COS(F37)</f>
        <v>-0.055161837963935076</v>
      </c>
      <c r="G373" s="5">
        <f>G310/$B$9*COS(G37)</f>
        <v>-0.012638463494575362</v>
      </c>
      <c r="H373" s="5">
        <f>H310/$B$9*COS(H37)</f>
        <v>0.007766617248912562</v>
      </c>
      <c r="I373" s="5">
        <f>I310/$B$9*COS(I37)</f>
        <v>-0.029105049099252007</v>
      </c>
      <c r="J373" s="5">
        <f>J310/$B$9*COS(J37)</f>
        <v>-0.12597121797014246</v>
      </c>
      <c r="K373" s="5">
        <f>K310/$B$9*COS(K37)</f>
        <v>-0.27480118660799585</v>
      </c>
      <c r="L373" s="5">
        <f>L310/$B$9*COS(L37)</f>
        <v>-0.45748729893756507</v>
      </c>
      <c r="M373" s="5">
        <f>M310/$B$9*COS(M37)</f>
        <v>-0.6511693688270269</v>
      </c>
      <c r="N373" s="5">
        <f>N310/$B$9*COS(N37)</f>
        <v>-0.8436102333709116</v>
      </c>
      <c r="O373" s="5">
        <f>O310/$B$9*COS(O37)</f>
        <v>-1.0256190069067879</v>
      </c>
      <c r="P373" s="5">
        <f>P310/$B$9*COS(P37)</f>
        <v>-1.1805817211504166</v>
      </c>
      <c r="Q373" s="5">
        <f>Q310/$B$9*COS(Q37)</f>
        <v>-1.2967931698355644</v>
      </c>
      <c r="R373" s="5">
        <f>R310/$B$9*COS(R37)</f>
        <v>-1.3758436959786153</v>
      </c>
      <c r="S373" s="5">
        <f>S310/$B$9*COS(S37)</f>
        <v>-1.4206295931773287</v>
      </c>
      <c r="T373" s="5">
        <f>T310/$B$9*COS(T37)</f>
        <v>-1.4249674556767884</v>
      </c>
      <c r="U373" s="5">
        <f>U310/$B$9*COS(U37)</f>
        <v>-1.374522660532629</v>
      </c>
      <c r="V373" s="5">
        <f>V310/$B$9*COS(V37)</f>
        <v>-1.2482990947368826</v>
      </c>
      <c r="W373" s="5">
        <f>W310/$B$9*COS(W37)</f>
        <v>-1.0245428807446884</v>
      </c>
      <c r="X373" s="5">
        <f>X310/$B$9*COS(X37)</f>
        <v>-0.7021284702160141</v>
      </c>
      <c r="Y373" s="5">
        <f>Y310/$B$9*COS(Y37)</f>
        <v>-0.33601569650264185</v>
      </c>
      <c r="Z373" s="5">
        <f>Z310/$B$9*COS(Z37)</f>
        <v>-0.06268403206477607</v>
      </c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  <c r="CW373" s="108"/>
      <c r="CX373" s="108"/>
      <c r="CY373" s="108"/>
      <c r="CZ373" s="108"/>
      <c r="DA373" s="108"/>
      <c r="DB373" s="108"/>
      <c r="DC373" s="108"/>
      <c r="DD373" s="108"/>
      <c r="DE373" s="108"/>
      <c r="DF373" s="108"/>
      <c r="DG373" s="108"/>
      <c r="DH373" s="108"/>
      <c r="DI373" s="108"/>
      <c r="DJ373" s="108"/>
      <c r="DK373" s="108"/>
      <c r="DL373" s="108"/>
      <c r="DM373" s="108"/>
      <c r="DN373" s="108"/>
      <c r="DO373" s="108"/>
      <c r="DP373" s="108"/>
      <c r="DQ373" s="108"/>
      <c r="DR373" s="108"/>
      <c r="DS373" s="108"/>
      <c r="DT373" s="108"/>
      <c r="DU373" s="108"/>
      <c r="DV373" s="108"/>
      <c r="DW373" s="108"/>
      <c r="DX373" s="108"/>
      <c r="DY373" s="108"/>
      <c r="DZ373" s="108"/>
      <c r="EA373" s="108"/>
      <c r="EB373" s="108"/>
      <c r="EC373" s="108"/>
      <c r="ED373" s="108"/>
      <c r="EE373" s="108"/>
      <c r="EF373" s="108"/>
      <c r="EG373" s="108"/>
      <c r="EH373" s="108"/>
      <c r="EI373" s="108"/>
      <c r="EJ373" s="108"/>
      <c r="EK373" s="108"/>
      <c r="EL373" s="108"/>
      <c r="EM373" s="108"/>
      <c r="EN373" s="108"/>
      <c r="EO373" s="108"/>
      <c r="EP373" s="108"/>
      <c r="EQ373" s="108"/>
      <c r="ER373" s="108"/>
      <c r="ES373" s="108"/>
      <c r="ET373" s="108"/>
      <c r="EU373" s="108"/>
      <c r="EV373" s="108"/>
      <c r="EW373" s="108"/>
      <c r="EX373" s="108"/>
      <c r="EY373" s="108"/>
      <c r="EZ373" s="108"/>
      <c r="FA373" s="108"/>
      <c r="FB373" s="108"/>
      <c r="FC373" s="108"/>
      <c r="FD373" s="108"/>
      <c r="FE373" s="108"/>
      <c r="FF373" s="108"/>
      <c r="FG373" s="108"/>
      <c r="FH373" s="108"/>
      <c r="FI373" s="108"/>
      <c r="FJ373" s="108"/>
      <c r="FK373" s="108"/>
      <c r="FL373" s="108"/>
      <c r="FM373" s="108"/>
      <c r="FN373" s="108"/>
      <c r="FO373" s="108"/>
      <c r="FP373" s="108"/>
      <c r="FQ373" s="108"/>
      <c r="FR373" s="108"/>
      <c r="FS373" s="108"/>
      <c r="FT373" s="108"/>
      <c r="FU373" s="108"/>
      <c r="FV373" s="108"/>
      <c r="FW373" s="108"/>
      <c r="FX373" s="108"/>
      <c r="FY373" s="108"/>
      <c r="FZ373" s="108"/>
      <c r="GA373" s="108"/>
      <c r="GB373" s="108"/>
      <c r="GC373" s="108"/>
      <c r="GD373" s="108"/>
      <c r="GE373" s="108"/>
      <c r="GF373" s="108"/>
      <c r="GG373" s="108"/>
      <c r="GH373" s="108"/>
      <c r="GI373" s="108"/>
      <c r="GJ373" s="108"/>
      <c r="GK373" s="108"/>
      <c r="GL373" s="108"/>
      <c r="GM373" s="108"/>
      <c r="GN373" s="108"/>
      <c r="GO373" s="108"/>
      <c r="GP373" s="108"/>
      <c r="GQ373" s="108"/>
      <c r="GR373" s="108"/>
      <c r="GS373" s="108"/>
      <c r="GT373" s="108"/>
      <c r="GU373" s="108"/>
      <c r="GV373" s="108"/>
      <c r="GW373" s="108"/>
      <c r="GX373" s="108"/>
      <c r="GY373" s="108"/>
      <c r="GZ373" s="108"/>
      <c r="HA373" s="108"/>
      <c r="HB373" s="108"/>
      <c r="HC373" s="108"/>
      <c r="HD373" s="108"/>
      <c r="HE373" s="108"/>
      <c r="HF373" s="108"/>
      <c r="HG373" s="108"/>
      <c r="HH373" s="108"/>
      <c r="HI373" s="108"/>
      <c r="HJ373" s="108"/>
      <c r="HK373" s="108"/>
      <c r="HL373" s="108"/>
      <c r="HM373" s="108"/>
      <c r="HN373" s="108"/>
      <c r="HO373" s="108"/>
      <c r="HP373" s="108"/>
      <c r="HQ373" s="108"/>
      <c r="HR373" s="108"/>
      <c r="HS373" s="108"/>
      <c r="HT373" s="108"/>
      <c r="HU373" s="108"/>
      <c r="HV373" s="108"/>
      <c r="HW373" s="108"/>
      <c r="HX373" s="108"/>
      <c r="HY373" s="108"/>
      <c r="HZ373" s="108"/>
      <c r="IA373" s="108"/>
      <c r="IB373" s="108"/>
      <c r="IC373" s="108"/>
      <c r="ID373" s="108"/>
      <c r="IE373" s="108"/>
      <c r="IF373" s="108"/>
      <c r="IG373" s="108"/>
      <c r="IH373" s="108"/>
      <c r="II373" s="108"/>
      <c r="IJ373" s="108"/>
      <c r="IK373" s="108"/>
      <c r="IL373" s="108"/>
      <c r="IM373" s="108"/>
      <c r="IN373" s="108"/>
      <c r="IO373" s="108"/>
      <c r="IP373" s="108"/>
      <c r="IQ373" s="108"/>
      <c r="IR373" s="108"/>
      <c r="IS373" s="108"/>
      <c r="IT373" s="108"/>
      <c r="IU373" s="108"/>
      <c r="IV373" s="108"/>
    </row>
    <row r="374" spans="1:256" ht="12.75">
      <c r="A374" t="s">
        <v>317</v>
      </c>
      <c r="B374" s="5">
        <f>B372*B57+B373*B58-B310*B39</f>
        <v>0</v>
      </c>
      <c r="C374" s="5">
        <f>C372*C57+C373*C58-C310*C39</f>
        <v>0</v>
      </c>
      <c r="D374" s="5">
        <f>D372*D57+D373*D58-D310*D39</f>
        <v>0</v>
      </c>
      <c r="E374" s="5">
        <f>E372*E57+E373*E58-E310*E39</f>
        <v>0</v>
      </c>
      <c r="F374" s="5">
        <f>F372*F57+F373*F58-F310*F39</f>
        <v>0</v>
      </c>
      <c r="G374" s="5">
        <f>G372*G57+G373*G58-G310*G39</f>
        <v>0</v>
      </c>
      <c r="H374" s="5">
        <f>H372*H57+H373*H58-H310*H39</f>
        <v>0</v>
      </c>
      <c r="I374" s="5">
        <f>I372*I57+I373*I58-I310*I39</f>
        <v>0</v>
      </c>
      <c r="J374" s="5">
        <f>J372*J57+J373*J58-J310*J39</f>
        <v>0</v>
      </c>
      <c r="K374" s="5">
        <f>K372*K57+K373*K58-K310*K39</f>
        <v>0</v>
      </c>
      <c r="L374" s="5">
        <f>L372*L57+L373*L58-L310*L39</f>
        <v>0</v>
      </c>
      <c r="M374" s="5">
        <f>M372*M57+M373*M58-M310*M39</f>
        <v>0</v>
      </c>
      <c r="N374" s="5">
        <f>N372*N57+N373*N58-N310*N39</f>
        <v>0</v>
      </c>
      <c r="O374" s="5">
        <f>O372*O57+O373*O58-O310*O39</f>
        <v>0</v>
      </c>
      <c r="P374" s="5">
        <f>P372*P57+P373*P58-P310*P39</f>
        <v>0</v>
      </c>
      <c r="Q374" s="5">
        <f>Q372*Q57+Q373*Q58-Q310*Q39</f>
        <v>0</v>
      </c>
      <c r="R374" s="5">
        <f>R372*R57+R373*R58-R310*R39</f>
        <v>0</v>
      </c>
      <c r="S374" s="5">
        <f>S372*S57+S373*S58-S310*S39</f>
        <v>-1.9984014443252818E-15</v>
      </c>
      <c r="T374" s="5">
        <f>T372*T57+T373*T58-T310*T39</f>
        <v>-2.275957200481571E-15</v>
      </c>
      <c r="U374" s="5">
        <f>U372*U57+U373*U58-U310*U39</f>
        <v>0</v>
      </c>
      <c r="V374" s="5">
        <f>V372*V57+V373*V58-V310*V39</f>
        <v>0</v>
      </c>
      <c r="W374" s="5">
        <f>W372*W57+W373*W58-W310*W39</f>
        <v>0</v>
      </c>
      <c r="X374" s="5">
        <f>X372*X57+X373*X58-X310*X39</f>
        <v>0</v>
      </c>
      <c r="Y374" s="5">
        <f>Y372*Y57+Y373*Y58-Y310*Y39</f>
        <v>0</v>
      </c>
      <c r="Z374" s="5">
        <f>Z372*Z57+Z373*Z58-Z310*Z39</f>
        <v>0</v>
      </c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08"/>
      <c r="CY374" s="108"/>
      <c r="CZ374" s="108"/>
      <c r="DA374" s="108"/>
      <c r="DB374" s="108"/>
      <c r="DC374" s="108"/>
      <c r="DD374" s="108"/>
      <c r="DE374" s="108"/>
      <c r="DF374" s="108"/>
      <c r="DG374" s="108"/>
      <c r="DH374" s="108"/>
      <c r="DI374" s="108"/>
      <c r="DJ374" s="108"/>
      <c r="DK374" s="108"/>
      <c r="DL374" s="108"/>
      <c r="DM374" s="108"/>
      <c r="DN374" s="108"/>
      <c r="DO374" s="108"/>
      <c r="DP374" s="108"/>
      <c r="DQ374" s="108"/>
      <c r="DR374" s="108"/>
      <c r="DS374" s="108"/>
      <c r="DT374" s="108"/>
      <c r="DU374" s="108"/>
      <c r="DV374" s="108"/>
      <c r="DW374" s="108"/>
      <c r="DX374" s="108"/>
      <c r="DY374" s="108"/>
      <c r="DZ374" s="108"/>
      <c r="EA374" s="108"/>
      <c r="EB374" s="108"/>
      <c r="EC374" s="108"/>
      <c r="ED374" s="108"/>
      <c r="EE374" s="108"/>
      <c r="EF374" s="108"/>
      <c r="EG374" s="108"/>
      <c r="EH374" s="108"/>
      <c r="EI374" s="108"/>
      <c r="EJ374" s="108"/>
      <c r="EK374" s="108"/>
      <c r="EL374" s="108"/>
      <c r="EM374" s="108"/>
      <c r="EN374" s="108"/>
      <c r="EO374" s="108"/>
      <c r="EP374" s="108"/>
      <c r="EQ374" s="108"/>
      <c r="ER374" s="108"/>
      <c r="ES374" s="108"/>
      <c r="ET374" s="108"/>
      <c r="EU374" s="108"/>
      <c r="EV374" s="108"/>
      <c r="EW374" s="108"/>
      <c r="EX374" s="108"/>
      <c r="EY374" s="108"/>
      <c r="EZ374" s="108"/>
      <c r="FA374" s="108"/>
      <c r="FB374" s="108"/>
      <c r="FC374" s="108"/>
      <c r="FD374" s="108"/>
      <c r="FE374" s="108"/>
      <c r="FF374" s="108"/>
      <c r="FG374" s="108"/>
      <c r="FH374" s="108"/>
      <c r="FI374" s="108"/>
      <c r="FJ374" s="108"/>
      <c r="FK374" s="108"/>
      <c r="FL374" s="108"/>
      <c r="FM374" s="108"/>
      <c r="FN374" s="108"/>
      <c r="FO374" s="108"/>
      <c r="FP374" s="108"/>
      <c r="FQ374" s="108"/>
      <c r="FR374" s="108"/>
      <c r="FS374" s="108"/>
      <c r="FT374" s="108"/>
      <c r="FU374" s="108"/>
      <c r="FV374" s="108"/>
      <c r="FW374" s="108"/>
      <c r="FX374" s="108"/>
      <c r="FY374" s="108"/>
      <c r="FZ374" s="108"/>
      <c r="GA374" s="108"/>
      <c r="GB374" s="108"/>
      <c r="GC374" s="108"/>
      <c r="GD374" s="108"/>
      <c r="GE374" s="108"/>
      <c r="GF374" s="108"/>
      <c r="GG374" s="108"/>
      <c r="GH374" s="108"/>
      <c r="GI374" s="108"/>
      <c r="GJ374" s="108"/>
      <c r="GK374" s="108"/>
      <c r="GL374" s="108"/>
      <c r="GM374" s="108"/>
      <c r="GN374" s="108"/>
      <c r="GO374" s="108"/>
      <c r="GP374" s="108"/>
      <c r="GQ374" s="108"/>
      <c r="GR374" s="108"/>
      <c r="GS374" s="108"/>
      <c r="GT374" s="108"/>
      <c r="GU374" s="108"/>
      <c r="GV374" s="108"/>
      <c r="GW374" s="108"/>
      <c r="GX374" s="108"/>
      <c r="GY374" s="108"/>
      <c r="GZ374" s="108"/>
      <c r="HA374" s="108"/>
      <c r="HB374" s="108"/>
      <c r="HC374" s="108"/>
      <c r="HD374" s="108"/>
      <c r="HE374" s="108"/>
      <c r="HF374" s="108"/>
      <c r="HG374" s="108"/>
      <c r="HH374" s="108"/>
      <c r="HI374" s="108"/>
      <c r="HJ374" s="108"/>
      <c r="HK374" s="108"/>
      <c r="HL374" s="108"/>
      <c r="HM374" s="108"/>
      <c r="HN374" s="108"/>
      <c r="HO374" s="108"/>
      <c r="HP374" s="108"/>
      <c r="HQ374" s="108"/>
      <c r="HR374" s="108"/>
      <c r="HS374" s="108"/>
      <c r="HT374" s="108"/>
      <c r="HU374" s="108"/>
      <c r="HV374" s="108"/>
      <c r="HW374" s="108"/>
      <c r="HX374" s="108"/>
      <c r="HY374" s="108"/>
      <c r="HZ374" s="108"/>
      <c r="IA374" s="108"/>
      <c r="IB374" s="108"/>
      <c r="IC374" s="108"/>
      <c r="ID374" s="108"/>
      <c r="IE374" s="108"/>
      <c r="IF374" s="108"/>
      <c r="IG374" s="108"/>
      <c r="IH374" s="108"/>
      <c r="II374" s="108"/>
      <c r="IJ374" s="108"/>
      <c r="IK374" s="108"/>
      <c r="IL374" s="108"/>
      <c r="IM374" s="108"/>
      <c r="IN374" s="108"/>
      <c r="IO374" s="108"/>
      <c r="IP374" s="108"/>
      <c r="IQ374" s="108"/>
      <c r="IR374" s="108"/>
      <c r="IS374" s="108"/>
      <c r="IT374" s="108"/>
      <c r="IU374" s="108"/>
      <c r="IV374" s="108"/>
    </row>
    <row r="375" spans="1:256" ht="12.75">
      <c r="A375" t="s">
        <v>433</v>
      </c>
      <c r="B375" s="5">
        <f>B308+B372</f>
        <v>1.3935193216693165</v>
      </c>
      <c r="C375" s="5">
        <f>C308+C372</f>
        <v>-0.8831200770856873</v>
      </c>
      <c r="D375" s="5">
        <f>D308+D372</f>
        <v>-2.8163260492725657</v>
      </c>
      <c r="E375" s="5">
        <f>E308+E372</f>
        <v>-0.6576891465695142</v>
      </c>
      <c r="F375" s="5">
        <f>F308+F372</f>
        <v>0.3248331058802848</v>
      </c>
      <c r="G375" s="5">
        <f>G308+G372</f>
        <v>-0.979802917249603</v>
      </c>
      <c r="H375" s="5">
        <f>H308+H372</f>
        <v>1.0614544993971782</v>
      </c>
      <c r="I375" s="5">
        <f>I308+I372</f>
        <v>2.8203173808161055</v>
      </c>
      <c r="J375" s="5">
        <f>J308+J372</f>
        <v>0.61138713946518</v>
      </c>
      <c r="K375" s="5">
        <f>K308+K372</f>
        <v>0.06052995879370715</v>
      </c>
      <c r="L375" s="5">
        <f>L308+L372</f>
        <v>0.758610537353515</v>
      </c>
      <c r="M375" s="5">
        <f>M308+M372</f>
        <v>-2.5503645350893294</v>
      </c>
      <c r="N375" s="5">
        <f>N308+N372</f>
        <v>-4.71768051146409</v>
      </c>
      <c r="O375" s="5">
        <f>O308+O372</f>
        <v>-1.9115177666845276</v>
      </c>
      <c r="P375" s="5">
        <f>P308+P372</f>
        <v>-0.5088106924066798</v>
      </c>
      <c r="Q375" s="5">
        <f>Q308+Q372</f>
        <v>-0.49166792631560585</v>
      </c>
      <c r="R375" s="5">
        <f>R308+R372</f>
        <v>2.027521652833112</v>
      </c>
      <c r="S375" s="5">
        <f>S308+S372</f>
        <v>2.9111963590078633</v>
      </c>
      <c r="T375" s="5">
        <f>T308+T372</f>
        <v>-0.21087544483346332</v>
      </c>
      <c r="U375" s="5">
        <f>U308+U372</f>
        <v>-3.4452855835304064</v>
      </c>
      <c r="V375" s="5">
        <f>V308+V372</f>
        <v>-3.1419332940906965</v>
      </c>
      <c r="W375" s="5">
        <f>W308+W372</f>
        <v>-1.9734891681080131</v>
      </c>
      <c r="X375" s="5">
        <f>X308+X372</f>
        <v>-3.4527129768511076</v>
      </c>
      <c r="Y375" s="5">
        <f>Y308+Y372</f>
        <v>-4.012213641066829</v>
      </c>
      <c r="Z375" s="5">
        <f>Z308+Z372</f>
        <v>-3.443547165158442</v>
      </c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08"/>
      <c r="CY375" s="108"/>
      <c r="CZ375" s="108"/>
      <c r="DA375" s="108"/>
      <c r="DB375" s="108"/>
      <c r="DC375" s="108"/>
      <c r="DD375" s="108"/>
      <c r="DE375" s="108"/>
      <c r="DF375" s="108"/>
      <c r="DG375" s="108"/>
      <c r="DH375" s="108"/>
      <c r="DI375" s="108"/>
      <c r="DJ375" s="108"/>
      <c r="DK375" s="108"/>
      <c r="DL375" s="108"/>
      <c r="DM375" s="108"/>
      <c r="DN375" s="108"/>
      <c r="DO375" s="108"/>
      <c r="DP375" s="108"/>
      <c r="DQ375" s="108"/>
      <c r="DR375" s="108"/>
      <c r="DS375" s="108"/>
      <c r="DT375" s="108"/>
      <c r="DU375" s="108"/>
      <c r="DV375" s="108"/>
      <c r="DW375" s="108"/>
      <c r="DX375" s="108"/>
      <c r="DY375" s="108"/>
      <c r="DZ375" s="108"/>
      <c r="EA375" s="108"/>
      <c r="EB375" s="108"/>
      <c r="EC375" s="108"/>
      <c r="ED375" s="108"/>
      <c r="EE375" s="108"/>
      <c r="EF375" s="108"/>
      <c r="EG375" s="108"/>
      <c r="EH375" s="108"/>
      <c r="EI375" s="108"/>
      <c r="EJ375" s="108"/>
      <c r="EK375" s="108"/>
      <c r="EL375" s="108"/>
      <c r="EM375" s="108"/>
      <c r="EN375" s="108"/>
      <c r="EO375" s="108"/>
      <c r="EP375" s="108"/>
      <c r="EQ375" s="108"/>
      <c r="ER375" s="108"/>
      <c r="ES375" s="108"/>
      <c r="ET375" s="108"/>
      <c r="EU375" s="108"/>
      <c r="EV375" s="108"/>
      <c r="EW375" s="108"/>
      <c r="EX375" s="108"/>
      <c r="EY375" s="108"/>
      <c r="EZ375" s="108"/>
      <c r="FA375" s="108"/>
      <c r="FB375" s="108"/>
      <c r="FC375" s="108"/>
      <c r="FD375" s="108"/>
      <c r="FE375" s="108"/>
      <c r="FF375" s="108"/>
      <c r="FG375" s="108"/>
      <c r="FH375" s="108"/>
      <c r="FI375" s="108"/>
      <c r="FJ375" s="108"/>
      <c r="FK375" s="108"/>
      <c r="FL375" s="108"/>
      <c r="FM375" s="108"/>
      <c r="FN375" s="108"/>
      <c r="FO375" s="108"/>
      <c r="FP375" s="108"/>
      <c r="FQ375" s="108"/>
      <c r="FR375" s="108"/>
      <c r="FS375" s="108"/>
      <c r="FT375" s="108"/>
      <c r="FU375" s="108"/>
      <c r="FV375" s="108"/>
      <c r="FW375" s="108"/>
      <c r="FX375" s="108"/>
      <c r="FY375" s="108"/>
      <c r="FZ375" s="108"/>
      <c r="GA375" s="108"/>
      <c r="GB375" s="108"/>
      <c r="GC375" s="108"/>
      <c r="GD375" s="108"/>
      <c r="GE375" s="108"/>
      <c r="GF375" s="108"/>
      <c r="GG375" s="108"/>
      <c r="GH375" s="108"/>
      <c r="GI375" s="108"/>
      <c r="GJ375" s="108"/>
      <c r="GK375" s="108"/>
      <c r="GL375" s="108"/>
      <c r="GM375" s="108"/>
      <c r="GN375" s="108"/>
      <c r="GO375" s="108"/>
      <c r="GP375" s="108"/>
      <c r="GQ375" s="108"/>
      <c r="GR375" s="108"/>
      <c r="GS375" s="108"/>
      <c r="GT375" s="108"/>
      <c r="GU375" s="108"/>
      <c r="GV375" s="108"/>
      <c r="GW375" s="108"/>
      <c r="GX375" s="108"/>
      <c r="GY375" s="108"/>
      <c r="GZ375" s="108"/>
      <c r="HA375" s="108"/>
      <c r="HB375" s="108"/>
      <c r="HC375" s="108"/>
      <c r="HD375" s="108"/>
      <c r="HE375" s="108"/>
      <c r="HF375" s="108"/>
      <c r="HG375" s="108"/>
      <c r="HH375" s="108"/>
      <c r="HI375" s="108"/>
      <c r="HJ375" s="108"/>
      <c r="HK375" s="108"/>
      <c r="HL375" s="108"/>
      <c r="HM375" s="108"/>
      <c r="HN375" s="108"/>
      <c r="HO375" s="108"/>
      <c r="HP375" s="108"/>
      <c r="HQ375" s="108"/>
      <c r="HR375" s="108"/>
      <c r="HS375" s="108"/>
      <c r="HT375" s="108"/>
      <c r="HU375" s="108"/>
      <c r="HV375" s="108"/>
      <c r="HW375" s="108"/>
      <c r="HX375" s="108"/>
      <c r="HY375" s="108"/>
      <c r="HZ375" s="108"/>
      <c r="IA375" s="108"/>
      <c r="IB375" s="108"/>
      <c r="IC375" s="108"/>
      <c r="ID375" s="108"/>
      <c r="IE375" s="108"/>
      <c r="IF375" s="108"/>
      <c r="IG375" s="108"/>
      <c r="IH375" s="108"/>
      <c r="II375" s="108"/>
      <c r="IJ375" s="108"/>
      <c r="IK375" s="108"/>
      <c r="IL375" s="108"/>
      <c r="IM375" s="108"/>
      <c r="IN375" s="108"/>
      <c r="IO375" s="108"/>
      <c r="IP375" s="108"/>
      <c r="IQ375" s="108"/>
      <c r="IR375" s="108"/>
      <c r="IS375" s="108"/>
      <c r="IT375" s="108"/>
      <c r="IU375" s="108"/>
      <c r="IV375" s="108"/>
    </row>
    <row r="376" spans="1:256" ht="12.75">
      <c r="A376" t="s">
        <v>434</v>
      </c>
      <c r="B376" s="5">
        <f>B309+B373</f>
        <v>5.645576556167824</v>
      </c>
      <c r="C376" s="5">
        <f>C309+C373</f>
        <v>-0.8464202530668896</v>
      </c>
      <c r="D376" s="5">
        <f>D309+D373</f>
        <v>33.374438077210314</v>
      </c>
      <c r="E376" s="5">
        <f>E309+E373</f>
        <v>16.374710189273838</v>
      </c>
      <c r="F376" s="5">
        <f>F309+F373</f>
        <v>15.182844332384754</v>
      </c>
      <c r="G376" s="5">
        <f>G309+G373</f>
        <v>23.50534427865651</v>
      </c>
      <c r="H376" s="5">
        <f>H309+H373</f>
        <v>2.5621318600195417</v>
      </c>
      <c r="I376" s="5">
        <f>I309+I373</f>
        <v>6.259053560695087</v>
      </c>
      <c r="J376" s="5">
        <f>J309+J373</f>
        <v>7.054273638939638</v>
      </c>
      <c r="K376" s="5">
        <f>K309+K373</f>
        <v>7.630627491608807</v>
      </c>
      <c r="L376" s="5">
        <f>L309+L373</f>
        <v>7.880620615547908</v>
      </c>
      <c r="M376" s="5">
        <f>M309+M373</f>
        <v>7.823673795820328</v>
      </c>
      <c r="N376" s="5">
        <f>N309+N373</f>
        <v>7.9272334467357</v>
      </c>
      <c r="O376" s="5">
        <f>O309+O373</f>
        <v>8.364009984420129</v>
      </c>
      <c r="P376" s="5">
        <f>P309+P373</f>
        <v>8.742553167670202</v>
      </c>
      <c r="Q376" s="5">
        <f>Q309+Q373</f>
        <v>8.695283609639603</v>
      </c>
      <c r="R376" s="5">
        <f>R309+R373</f>
        <v>8.312384237430683</v>
      </c>
      <c r="S376" s="5">
        <f>S309+S373</f>
        <v>7.964891365713082</v>
      </c>
      <c r="T376" s="5">
        <f>T309+T373</f>
        <v>7.863387425897206</v>
      </c>
      <c r="U376" s="5">
        <f>U309+U373</f>
        <v>7.866471574260243</v>
      </c>
      <c r="V376" s="5">
        <f>V309+V373</f>
        <v>7.802869383217557</v>
      </c>
      <c r="W376" s="5">
        <f>W309+W373</f>
        <v>7.744796596859901</v>
      </c>
      <c r="X376" s="5">
        <f>X309+X373</f>
        <v>7.697070914973782</v>
      </c>
      <c r="Y376" s="5">
        <f>Y309+Y373</f>
        <v>7.195175889212518</v>
      </c>
      <c r="Z376" s="5">
        <f>Z309+Z373</f>
        <v>5.488917428525135</v>
      </c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  <c r="CW376" s="108"/>
      <c r="CX376" s="108"/>
      <c r="CY376" s="108"/>
      <c r="CZ376" s="108"/>
      <c r="DA376" s="108"/>
      <c r="DB376" s="108"/>
      <c r="DC376" s="108"/>
      <c r="DD376" s="108"/>
      <c r="DE376" s="108"/>
      <c r="DF376" s="108"/>
      <c r="DG376" s="108"/>
      <c r="DH376" s="108"/>
      <c r="DI376" s="108"/>
      <c r="DJ376" s="108"/>
      <c r="DK376" s="108"/>
      <c r="DL376" s="108"/>
      <c r="DM376" s="108"/>
      <c r="DN376" s="108"/>
      <c r="DO376" s="108"/>
      <c r="DP376" s="108"/>
      <c r="DQ376" s="108"/>
      <c r="DR376" s="108"/>
      <c r="DS376" s="108"/>
      <c r="DT376" s="108"/>
      <c r="DU376" s="108"/>
      <c r="DV376" s="108"/>
      <c r="DW376" s="108"/>
      <c r="DX376" s="108"/>
      <c r="DY376" s="108"/>
      <c r="DZ376" s="108"/>
      <c r="EA376" s="108"/>
      <c r="EB376" s="108"/>
      <c r="EC376" s="108"/>
      <c r="ED376" s="108"/>
      <c r="EE376" s="108"/>
      <c r="EF376" s="108"/>
      <c r="EG376" s="108"/>
      <c r="EH376" s="108"/>
      <c r="EI376" s="108"/>
      <c r="EJ376" s="108"/>
      <c r="EK376" s="108"/>
      <c r="EL376" s="108"/>
      <c r="EM376" s="108"/>
      <c r="EN376" s="108"/>
      <c r="EO376" s="108"/>
      <c r="EP376" s="108"/>
      <c r="EQ376" s="108"/>
      <c r="ER376" s="108"/>
      <c r="ES376" s="108"/>
      <c r="ET376" s="108"/>
      <c r="EU376" s="108"/>
      <c r="EV376" s="108"/>
      <c r="EW376" s="108"/>
      <c r="EX376" s="108"/>
      <c r="EY376" s="108"/>
      <c r="EZ376" s="108"/>
      <c r="FA376" s="108"/>
      <c r="FB376" s="108"/>
      <c r="FC376" s="108"/>
      <c r="FD376" s="108"/>
      <c r="FE376" s="108"/>
      <c r="FF376" s="108"/>
      <c r="FG376" s="108"/>
      <c r="FH376" s="108"/>
      <c r="FI376" s="108"/>
      <c r="FJ376" s="108"/>
      <c r="FK376" s="108"/>
      <c r="FL376" s="108"/>
      <c r="FM376" s="108"/>
      <c r="FN376" s="108"/>
      <c r="FO376" s="108"/>
      <c r="FP376" s="108"/>
      <c r="FQ376" s="108"/>
      <c r="FR376" s="108"/>
      <c r="FS376" s="108"/>
      <c r="FT376" s="108"/>
      <c r="FU376" s="108"/>
      <c r="FV376" s="108"/>
      <c r="FW376" s="108"/>
      <c r="FX376" s="108"/>
      <c r="FY376" s="108"/>
      <c r="FZ376" s="108"/>
      <c r="GA376" s="108"/>
      <c r="GB376" s="108"/>
      <c r="GC376" s="108"/>
      <c r="GD376" s="108"/>
      <c r="GE376" s="108"/>
      <c r="GF376" s="108"/>
      <c r="GG376" s="108"/>
      <c r="GH376" s="108"/>
      <c r="GI376" s="108"/>
      <c r="GJ376" s="108"/>
      <c r="GK376" s="108"/>
      <c r="GL376" s="108"/>
      <c r="GM376" s="108"/>
      <c r="GN376" s="108"/>
      <c r="GO376" s="108"/>
      <c r="GP376" s="108"/>
      <c r="GQ376" s="108"/>
      <c r="GR376" s="108"/>
      <c r="GS376" s="108"/>
      <c r="GT376" s="108"/>
      <c r="GU376" s="108"/>
      <c r="GV376" s="108"/>
      <c r="GW376" s="108"/>
      <c r="GX376" s="108"/>
      <c r="GY376" s="108"/>
      <c r="GZ376" s="108"/>
      <c r="HA376" s="108"/>
      <c r="HB376" s="108"/>
      <c r="HC376" s="108"/>
      <c r="HD376" s="108"/>
      <c r="HE376" s="108"/>
      <c r="HF376" s="108"/>
      <c r="HG376" s="108"/>
      <c r="HH376" s="108"/>
      <c r="HI376" s="108"/>
      <c r="HJ376" s="108"/>
      <c r="HK376" s="108"/>
      <c r="HL376" s="108"/>
      <c r="HM376" s="108"/>
      <c r="HN376" s="108"/>
      <c r="HO376" s="108"/>
      <c r="HP376" s="108"/>
      <c r="HQ376" s="108"/>
      <c r="HR376" s="108"/>
      <c r="HS376" s="108"/>
      <c r="HT376" s="108"/>
      <c r="HU376" s="108"/>
      <c r="HV376" s="108"/>
      <c r="HW376" s="108"/>
      <c r="HX376" s="108"/>
      <c r="HY376" s="108"/>
      <c r="HZ376" s="108"/>
      <c r="IA376" s="108"/>
      <c r="IB376" s="108"/>
      <c r="IC376" s="108"/>
      <c r="ID376" s="108"/>
      <c r="IE376" s="108"/>
      <c r="IF376" s="108"/>
      <c r="IG376" s="108"/>
      <c r="IH376" s="108"/>
      <c r="II376" s="108"/>
      <c r="IJ376" s="108"/>
      <c r="IK376" s="108"/>
      <c r="IL376" s="108"/>
      <c r="IM376" s="108"/>
      <c r="IN376" s="108"/>
      <c r="IO376" s="108"/>
      <c r="IP376" s="108"/>
      <c r="IQ376" s="108"/>
      <c r="IR376" s="108"/>
      <c r="IS376" s="108"/>
      <c r="IT376" s="108"/>
      <c r="IU376" s="108"/>
      <c r="IV376" s="108"/>
    </row>
    <row r="377" spans="1:256" ht="12.75">
      <c r="A377" t="s">
        <v>317</v>
      </c>
      <c r="B377" s="5">
        <f>B375*B57+B376*B58-(B228+B229+B236+B237+B212+B213+B220+B221+B244+B245+B252+B253)-B266-B267</f>
        <v>0</v>
      </c>
      <c r="C377" s="5">
        <f>C375*C57+C376*C58-(C228+C229+C236+C237+C212+C213+C220+C221+C244+C245+C252+C253)-C266-C267</f>
        <v>0</v>
      </c>
      <c r="D377" s="5">
        <f>D375*D57+D376*D58-(D228+D229+D236+D237+D212+D213+D220+D221+D244+D245+D252+D253)-D266-D267</f>
        <v>-2.842170943040401E-14</v>
      </c>
      <c r="E377" s="5">
        <f>E375*E57+E376*E58-(E228+E229+E236+E237+E212+E213+E220+E221+E244+E245+E252+E253)-E266-E267</f>
        <v>5.329070518200751E-15</v>
      </c>
      <c r="F377" s="5">
        <f>F375*F57+F376*F58-(F228+F229+F236+F237+F212+F213+F220+F221+F244+F245+F252+F253)-F266-F267</f>
        <v>6.661338147750939E-15</v>
      </c>
      <c r="G377" s="5">
        <f>G375*G57+G376*G58-(G228+G229+G236+G237+G212+G213+G220+G221+G244+G245+G252+G253)-G266-G267</f>
        <v>0</v>
      </c>
      <c r="H377" s="5">
        <f>H375*H57+H376*H58-(H228+H229+H236+H237+H212+H213+H220+H221+H244+H245+H252+H253)-H266-H267</f>
        <v>0</v>
      </c>
      <c r="I377" s="5">
        <f>I375*I57+I376*I58-(I228+I229+I236+I237+I212+I213+I220+I221+I244+I245+I252+I253)-I266-I267</f>
        <v>0</v>
      </c>
      <c r="J377" s="5">
        <f>J375*J57+J376*J58-(J228+J229+J236+J237+J212+J213+J220+J221+J244+J245+J252+J253)-J266-J267</f>
        <v>0</v>
      </c>
      <c r="K377" s="5">
        <f>K375*K57+K376*K58-(K228+K229+K236+K237+K212+K213+K220+K221+K244+K245+K252+K253)-K266-K267</f>
        <v>0</v>
      </c>
      <c r="L377" s="5">
        <f>L375*L57+L376*L58-(L228+L229+L236+L237+L212+L213+L220+L221+L244+L245+L252+L253)-L266-L267</f>
        <v>7.105427357601002E-15</v>
      </c>
      <c r="M377" s="5">
        <f>M375*M57+M376*M58-(M228+M229+M236+M237+M212+M213+M220+M221+M244+M245+M252+M253)-M266-M267</f>
        <v>3.9968028886505635E-15</v>
      </c>
      <c r="N377" s="5">
        <f>N375*N57+N376*N58-(N228+N229+N236+N237+N212+N213+N220+N221+N244+N245+N252+N253)-N266-N267</f>
        <v>0</v>
      </c>
      <c r="O377" s="5">
        <f>O375*O57+O376*O58-(O228+O229+O236+O237+O212+O213+O220+O221+O244+O245+O252+O253)-O266-O267</f>
        <v>-1.1102230246251565E-14</v>
      </c>
      <c r="P377" s="5">
        <f>P375*P57+P376*P58-(P228+P229+P236+P237+P212+P213+P220+P221+P244+P245+P252+P253)-P266-P267</f>
        <v>1.2212453270876722E-15</v>
      </c>
      <c r="Q377" s="5">
        <f>Q375*Q57+Q376*Q58-(Q228+Q229+Q236+Q237+Q212+Q213+Q220+Q221+Q244+Q245+Q252+Q253)-Q266-Q267</f>
        <v>1.1102230246251565E-14</v>
      </c>
      <c r="R377" s="5">
        <f>R375*R57+R376*R58-(R228+R229+R236+R237+R212+R213+R220+R221+R244+R245+R252+R253)-R266-R267</f>
        <v>0</v>
      </c>
      <c r="S377" s="5">
        <f>S375*S57+S376*S58-(S228+S229+S236+S237+S212+S213+S220+S221+S244+S245+S252+S253)-S266-S267</f>
        <v>7.403799795469013E-15</v>
      </c>
      <c r="T377" s="5">
        <f>T375*T57+T376*T58-(T228+T229+T236+T237+T212+T213+T220+T221+T244+T245+T252+T253)-T266-T267</f>
        <v>4.9960036108132044E-15</v>
      </c>
      <c r="U377" s="5">
        <f>U375*U57+U376*U58-(U228+U229+U236+U237+U212+U213+U220+U221+U244+U245+U252+U253)-U266-U267</f>
        <v>0</v>
      </c>
      <c r="V377" s="5">
        <f>V375*V57+V376*V58-(V228+V229+V236+V237+V212+V213+V220+V221+V244+V245+V252+V253)-V266-V267</f>
        <v>0</v>
      </c>
      <c r="W377" s="5">
        <f>W375*W57+W376*W58-(W228+W229+W236+W237+W212+W213+W220+W221+W244+W245+W252+W253)-W266-W267</f>
        <v>0</v>
      </c>
      <c r="X377" s="5">
        <f>X375*X57+X376*X58-(X228+X229+X236+X237+X212+X213+X220+X221+X244+X245+X252+X253)-X266-X267</f>
        <v>0</v>
      </c>
      <c r="Y377" s="5">
        <f>Y375*Y57+Y376*Y58-(Y228+Y229+Y236+Y237+Y212+Y213+Y220+Y221+Y244+Y245+Y252+Y253)-Y266-Y267</f>
        <v>0</v>
      </c>
      <c r="Z377" s="5">
        <f>Z375*Z57+Z376*Z58-(Z228+Z229+Z236+Z237+Z212+Z213+Z220+Z221+Z244+Z245+Z252+Z253)-Z266-Z267</f>
        <v>5.17588375621369E-15</v>
      </c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  <c r="CW377" s="108"/>
      <c r="CX377" s="108"/>
      <c r="CY377" s="108"/>
      <c r="CZ377" s="108"/>
      <c r="DA377" s="108"/>
      <c r="DB377" s="108"/>
      <c r="DC377" s="108"/>
      <c r="DD377" s="108"/>
      <c r="DE377" s="108"/>
      <c r="DF377" s="108"/>
      <c r="DG377" s="108"/>
      <c r="DH377" s="108"/>
      <c r="DI377" s="108"/>
      <c r="DJ377" s="108"/>
      <c r="DK377" s="108"/>
      <c r="DL377" s="108"/>
      <c r="DM377" s="108"/>
      <c r="DN377" s="108"/>
      <c r="DO377" s="108"/>
      <c r="DP377" s="108"/>
      <c r="DQ377" s="108"/>
      <c r="DR377" s="108"/>
      <c r="DS377" s="108"/>
      <c r="DT377" s="108"/>
      <c r="DU377" s="108"/>
      <c r="DV377" s="108"/>
      <c r="DW377" s="108"/>
      <c r="DX377" s="108"/>
      <c r="DY377" s="108"/>
      <c r="DZ377" s="108"/>
      <c r="EA377" s="108"/>
      <c r="EB377" s="108"/>
      <c r="EC377" s="108"/>
      <c r="ED377" s="108"/>
      <c r="EE377" s="108"/>
      <c r="EF377" s="108"/>
      <c r="EG377" s="108"/>
      <c r="EH377" s="108"/>
      <c r="EI377" s="108"/>
      <c r="EJ377" s="108"/>
      <c r="EK377" s="108"/>
      <c r="EL377" s="108"/>
      <c r="EM377" s="108"/>
      <c r="EN377" s="108"/>
      <c r="EO377" s="108"/>
      <c r="EP377" s="108"/>
      <c r="EQ377" s="108"/>
      <c r="ER377" s="108"/>
      <c r="ES377" s="108"/>
      <c r="ET377" s="108"/>
      <c r="EU377" s="108"/>
      <c r="EV377" s="108"/>
      <c r="EW377" s="108"/>
      <c r="EX377" s="108"/>
      <c r="EY377" s="108"/>
      <c r="EZ377" s="108"/>
      <c r="FA377" s="108"/>
      <c r="FB377" s="108"/>
      <c r="FC377" s="108"/>
      <c r="FD377" s="108"/>
      <c r="FE377" s="108"/>
      <c r="FF377" s="108"/>
      <c r="FG377" s="108"/>
      <c r="FH377" s="108"/>
      <c r="FI377" s="108"/>
      <c r="FJ377" s="108"/>
      <c r="FK377" s="108"/>
      <c r="FL377" s="108"/>
      <c r="FM377" s="108"/>
      <c r="FN377" s="108"/>
      <c r="FO377" s="108"/>
      <c r="FP377" s="108"/>
      <c r="FQ377" s="108"/>
      <c r="FR377" s="108"/>
      <c r="FS377" s="108"/>
      <c r="FT377" s="108"/>
      <c r="FU377" s="108"/>
      <c r="FV377" s="108"/>
      <c r="FW377" s="108"/>
      <c r="FX377" s="108"/>
      <c r="FY377" s="108"/>
      <c r="FZ377" s="108"/>
      <c r="GA377" s="108"/>
      <c r="GB377" s="108"/>
      <c r="GC377" s="108"/>
      <c r="GD377" s="108"/>
      <c r="GE377" s="108"/>
      <c r="GF377" s="108"/>
      <c r="GG377" s="108"/>
      <c r="GH377" s="108"/>
      <c r="GI377" s="108"/>
      <c r="GJ377" s="108"/>
      <c r="GK377" s="108"/>
      <c r="GL377" s="108"/>
      <c r="GM377" s="108"/>
      <c r="GN377" s="108"/>
      <c r="GO377" s="108"/>
      <c r="GP377" s="108"/>
      <c r="GQ377" s="108"/>
      <c r="GR377" s="108"/>
      <c r="GS377" s="108"/>
      <c r="GT377" s="108"/>
      <c r="GU377" s="108"/>
      <c r="GV377" s="108"/>
      <c r="GW377" s="108"/>
      <c r="GX377" s="108"/>
      <c r="GY377" s="108"/>
      <c r="GZ377" s="108"/>
      <c r="HA377" s="108"/>
      <c r="HB377" s="108"/>
      <c r="HC377" s="108"/>
      <c r="HD377" s="108"/>
      <c r="HE377" s="108"/>
      <c r="HF377" s="108"/>
      <c r="HG377" s="108"/>
      <c r="HH377" s="108"/>
      <c r="HI377" s="108"/>
      <c r="HJ377" s="108"/>
      <c r="HK377" s="108"/>
      <c r="HL377" s="108"/>
      <c r="HM377" s="108"/>
      <c r="HN377" s="108"/>
      <c r="HO377" s="108"/>
      <c r="HP377" s="108"/>
      <c r="HQ377" s="108"/>
      <c r="HR377" s="108"/>
      <c r="HS377" s="108"/>
      <c r="HT377" s="108"/>
      <c r="HU377" s="108"/>
      <c r="HV377" s="108"/>
      <c r="HW377" s="108"/>
      <c r="HX377" s="108"/>
      <c r="HY377" s="108"/>
      <c r="HZ377" s="108"/>
      <c r="IA377" s="108"/>
      <c r="IB377" s="108"/>
      <c r="IC377" s="108"/>
      <c r="ID377" s="108"/>
      <c r="IE377" s="108"/>
      <c r="IF377" s="108"/>
      <c r="IG377" s="108"/>
      <c r="IH377" s="108"/>
      <c r="II377" s="108"/>
      <c r="IJ377" s="108"/>
      <c r="IK377" s="108"/>
      <c r="IL377" s="108"/>
      <c r="IM377" s="108"/>
      <c r="IN377" s="108"/>
      <c r="IO377" s="108"/>
      <c r="IP377" s="108"/>
      <c r="IQ377" s="108"/>
      <c r="IR377" s="108"/>
      <c r="IS377" s="108"/>
      <c r="IT377" s="108"/>
      <c r="IU377" s="108"/>
      <c r="IV377" s="108"/>
    </row>
    <row r="378" spans="1:256" ht="12.75">
      <c r="A378" t="s">
        <v>435</v>
      </c>
      <c r="B378" s="5">
        <f>B375+B385</f>
        <v>0.5760850111348076</v>
      </c>
      <c r="C378" s="5">
        <f>C375+C385</f>
        <v>-1.3915911604025255</v>
      </c>
      <c r="D378" s="5">
        <f>D375+D385</f>
        <v>-1.5687959549781496</v>
      </c>
      <c r="E378" s="5">
        <f>E375+E385</f>
        <v>1.1254774454790453</v>
      </c>
      <c r="F378" s="5">
        <f>F375+F385</f>
        <v>1.7362898404909806</v>
      </c>
      <c r="G378" s="5">
        <f>G375+G385</f>
        <v>-0.3080277401289566</v>
      </c>
      <c r="H378" s="5">
        <f>H375+H385</f>
        <v>0.7004696411756095</v>
      </c>
      <c r="I378" s="5">
        <f>I375+I385</f>
        <v>1.9239185232850908</v>
      </c>
      <c r="J378" s="5">
        <f>J375+J385</f>
        <v>-1.3610760522731578</v>
      </c>
      <c r="K378" s="5">
        <f>K375+K385</f>
        <v>-2.7889742246875615</v>
      </c>
      <c r="L378" s="5">
        <f>L375+L385</f>
        <v>-2.412093084898708</v>
      </c>
      <c r="M378" s="5">
        <f>M375+M385</f>
        <v>-7.3049953939680385</v>
      </c>
      <c r="N378" s="5">
        <f>N375+N385</f>
        <v>-10.843255559318495</v>
      </c>
      <c r="O378" s="5">
        <f>O375+O385</f>
        <v>-6.729385629706528</v>
      </c>
      <c r="P378" s="5">
        <f>P375+P385</f>
        <v>-4.209796191769267</v>
      </c>
      <c r="Q378" s="5">
        <f>Q375+Q385</f>
        <v>-3.513987141506969</v>
      </c>
      <c r="R378" s="5">
        <f>R375+R385</f>
        <v>2.002747258761998</v>
      </c>
      <c r="S378" s="5">
        <f>S375+S385</f>
        <v>4.947321957853074</v>
      </c>
      <c r="T378" s="5">
        <f>T375+T385</f>
        <v>0.3318272758991544</v>
      </c>
      <c r="U378" s="5">
        <f>U375+U385</f>
        <v>-4.534624612076649</v>
      </c>
      <c r="V378" s="5">
        <f>V375+V385</f>
        <v>-0.30906997533470637</v>
      </c>
      <c r="W378" s="5">
        <f>W375+W385</f>
        <v>-12.106915539573365</v>
      </c>
      <c r="X378" s="5">
        <f>X375+X385</f>
        <v>-8.215947118354315</v>
      </c>
      <c r="Y378" s="5">
        <f>Y375+Y385</f>
        <v>-8.664939777074764</v>
      </c>
      <c r="Z378" s="5">
        <f>Z375+Z385</f>
        <v>-6.661002621738023</v>
      </c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  <c r="CW378" s="108"/>
      <c r="CX378" s="108"/>
      <c r="CY378" s="108"/>
      <c r="CZ378" s="108"/>
      <c r="DA378" s="108"/>
      <c r="DB378" s="108"/>
      <c r="DC378" s="108"/>
      <c r="DD378" s="108"/>
      <c r="DE378" s="108"/>
      <c r="DF378" s="108"/>
      <c r="DG378" s="108"/>
      <c r="DH378" s="108"/>
      <c r="DI378" s="108"/>
      <c r="DJ378" s="108"/>
      <c r="DK378" s="108"/>
      <c r="DL378" s="108"/>
      <c r="DM378" s="108"/>
      <c r="DN378" s="108"/>
      <c r="DO378" s="108"/>
      <c r="DP378" s="108"/>
      <c r="DQ378" s="108"/>
      <c r="DR378" s="108"/>
      <c r="DS378" s="108"/>
      <c r="DT378" s="108"/>
      <c r="DU378" s="108"/>
      <c r="DV378" s="108"/>
      <c r="DW378" s="108"/>
      <c r="DX378" s="108"/>
      <c r="DY378" s="108"/>
      <c r="DZ378" s="108"/>
      <c r="EA378" s="108"/>
      <c r="EB378" s="108"/>
      <c r="EC378" s="108"/>
      <c r="ED378" s="108"/>
      <c r="EE378" s="108"/>
      <c r="EF378" s="108"/>
      <c r="EG378" s="108"/>
      <c r="EH378" s="108"/>
      <c r="EI378" s="108"/>
      <c r="EJ378" s="108"/>
      <c r="EK378" s="108"/>
      <c r="EL378" s="108"/>
      <c r="EM378" s="108"/>
      <c r="EN378" s="108"/>
      <c r="EO378" s="108"/>
      <c r="EP378" s="108"/>
      <c r="EQ378" s="108"/>
      <c r="ER378" s="108"/>
      <c r="ES378" s="108"/>
      <c r="ET378" s="108"/>
      <c r="EU378" s="108"/>
      <c r="EV378" s="108"/>
      <c r="EW378" s="108"/>
      <c r="EX378" s="108"/>
      <c r="EY378" s="108"/>
      <c r="EZ378" s="108"/>
      <c r="FA378" s="108"/>
      <c r="FB378" s="108"/>
      <c r="FC378" s="108"/>
      <c r="FD378" s="108"/>
      <c r="FE378" s="108"/>
      <c r="FF378" s="108"/>
      <c r="FG378" s="108"/>
      <c r="FH378" s="108"/>
      <c r="FI378" s="108"/>
      <c r="FJ378" s="108"/>
      <c r="FK378" s="108"/>
      <c r="FL378" s="108"/>
      <c r="FM378" s="108"/>
      <c r="FN378" s="108"/>
      <c r="FO378" s="108"/>
      <c r="FP378" s="108"/>
      <c r="FQ378" s="108"/>
      <c r="FR378" s="108"/>
      <c r="FS378" s="108"/>
      <c r="FT378" s="108"/>
      <c r="FU378" s="108"/>
      <c r="FV378" s="108"/>
      <c r="FW378" s="108"/>
      <c r="FX378" s="108"/>
      <c r="FY378" s="108"/>
      <c r="FZ378" s="108"/>
      <c r="GA378" s="108"/>
      <c r="GB378" s="108"/>
      <c r="GC378" s="108"/>
      <c r="GD378" s="108"/>
      <c r="GE378" s="108"/>
      <c r="GF378" s="108"/>
      <c r="GG378" s="108"/>
      <c r="GH378" s="108"/>
      <c r="GI378" s="108"/>
      <c r="GJ378" s="108"/>
      <c r="GK378" s="108"/>
      <c r="GL378" s="108"/>
      <c r="GM378" s="108"/>
      <c r="GN378" s="108"/>
      <c r="GO378" s="108"/>
      <c r="GP378" s="108"/>
      <c r="GQ378" s="108"/>
      <c r="GR378" s="108"/>
      <c r="GS378" s="108"/>
      <c r="GT378" s="108"/>
      <c r="GU378" s="108"/>
      <c r="GV378" s="108"/>
      <c r="GW378" s="108"/>
      <c r="GX378" s="108"/>
      <c r="GY378" s="108"/>
      <c r="GZ378" s="108"/>
      <c r="HA378" s="108"/>
      <c r="HB378" s="108"/>
      <c r="HC378" s="108"/>
      <c r="HD378" s="108"/>
      <c r="HE378" s="108"/>
      <c r="HF378" s="108"/>
      <c r="HG378" s="108"/>
      <c r="HH378" s="108"/>
      <c r="HI378" s="108"/>
      <c r="HJ378" s="108"/>
      <c r="HK378" s="108"/>
      <c r="HL378" s="108"/>
      <c r="HM378" s="108"/>
      <c r="HN378" s="108"/>
      <c r="HO378" s="108"/>
      <c r="HP378" s="108"/>
      <c r="HQ378" s="108"/>
      <c r="HR378" s="108"/>
      <c r="HS378" s="108"/>
      <c r="HT378" s="108"/>
      <c r="HU378" s="108"/>
      <c r="HV378" s="108"/>
      <c r="HW378" s="108"/>
      <c r="HX378" s="108"/>
      <c r="HY378" s="108"/>
      <c r="HZ378" s="108"/>
      <c r="IA378" s="108"/>
      <c r="IB378" s="108"/>
      <c r="IC378" s="108"/>
      <c r="ID378" s="108"/>
      <c r="IE378" s="108"/>
      <c r="IF378" s="108"/>
      <c r="IG378" s="108"/>
      <c r="IH378" s="108"/>
      <c r="II378" s="108"/>
      <c r="IJ378" s="108"/>
      <c r="IK378" s="108"/>
      <c r="IL378" s="108"/>
      <c r="IM378" s="108"/>
      <c r="IN378" s="108"/>
      <c r="IO378" s="108"/>
      <c r="IP378" s="108"/>
      <c r="IQ378" s="108"/>
      <c r="IR378" s="108"/>
      <c r="IS378" s="108"/>
      <c r="IT378" s="108"/>
      <c r="IU378" s="108"/>
      <c r="IV378" s="108"/>
    </row>
    <row r="379" spans="1:256" ht="12.75">
      <c r="A379" t="s">
        <v>436</v>
      </c>
      <c r="B379" s="5">
        <f>B376+B386</f>
        <v>9.104356602595798</v>
      </c>
      <c r="C379" s="5">
        <f>C376+C386</f>
        <v>5.747402693969956</v>
      </c>
      <c r="D379" s="5">
        <f>D376+D386</f>
        <v>79.24576857304274</v>
      </c>
      <c r="E379" s="5">
        <f>E376+E386</f>
        <v>41.351989327963025</v>
      </c>
      <c r="F379" s="5">
        <f>F376+F386</f>
        <v>36.954556472163006</v>
      </c>
      <c r="G379" s="5">
        <f>G376+G386</f>
        <v>54.22271127127196</v>
      </c>
      <c r="H379" s="5">
        <f>H376+H386</f>
        <v>10.59892798293432</v>
      </c>
      <c r="I379" s="5">
        <f>I376+I386</f>
        <v>13.330937277914014</v>
      </c>
      <c r="J379" s="5">
        <f>J376+J386</f>
        <v>16.095676551244484</v>
      </c>
      <c r="K379" s="5">
        <f>K376+K386</f>
        <v>16.654222472685053</v>
      </c>
      <c r="L379" s="5">
        <f>L376+L386</f>
        <v>15.476779192332799</v>
      </c>
      <c r="M379" s="5">
        <f>M376+M386</f>
        <v>16.946655076941383</v>
      </c>
      <c r="N379" s="5">
        <f>N376+N386</f>
        <v>17.728126264564917</v>
      </c>
      <c r="O379" s="5">
        <f>O376+O386</f>
        <v>14.998292414254946</v>
      </c>
      <c r="P379" s="5">
        <f>P376+P386</f>
        <v>13.249654478850347</v>
      </c>
      <c r="Q379" s="5">
        <f>Q376+Q386</f>
        <v>12.034905540070287</v>
      </c>
      <c r="R379" s="5">
        <f>R376+R386</f>
        <v>8.337882414107598</v>
      </c>
      <c r="S379" s="5">
        <f>S376+S386</f>
        <v>5.956258166555573</v>
      </c>
      <c r="T379" s="5">
        <f>T376+T386</f>
        <v>7.332930086964854</v>
      </c>
      <c r="U379" s="5">
        <f>U376+U386</f>
        <v>8.964727701721495</v>
      </c>
      <c r="V379" s="5">
        <f>V376+V386</f>
        <v>4.703791441954838</v>
      </c>
      <c r="W379" s="5">
        <f>W376+W386</f>
        <v>20.59951446610628</v>
      </c>
      <c r="X379" s="5">
        <f>X376+X386</f>
        <v>15.370852745797297</v>
      </c>
      <c r="Y379" s="5">
        <f>Y376+Y386</f>
        <v>18.07054941944181</v>
      </c>
      <c r="Z379" s="5">
        <f>Z376+Z386</f>
        <v>19.102819597876834</v>
      </c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  <c r="CW379" s="108"/>
      <c r="CX379" s="108"/>
      <c r="CY379" s="108"/>
      <c r="CZ379" s="108"/>
      <c r="DA379" s="108"/>
      <c r="DB379" s="108"/>
      <c r="DC379" s="108"/>
      <c r="DD379" s="108"/>
      <c r="DE379" s="108"/>
      <c r="DF379" s="108"/>
      <c r="DG379" s="108"/>
      <c r="DH379" s="108"/>
      <c r="DI379" s="108"/>
      <c r="DJ379" s="108"/>
      <c r="DK379" s="108"/>
      <c r="DL379" s="108"/>
      <c r="DM379" s="108"/>
      <c r="DN379" s="108"/>
      <c r="DO379" s="108"/>
      <c r="DP379" s="108"/>
      <c r="DQ379" s="108"/>
      <c r="DR379" s="108"/>
      <c r="DS379" s="108"/>
      <c r="DT379" s="108"/>
      <c r="DU379" s="108"/>
      <c r="DV379" s="108"/>
      <c r="DW379" s="108"/>
      <c r="DX379" s="108"/>
      <c r="DY379" s="108"/>
      <c r="DZ379" s="108"/>
      <c r="EA379" s="108"/>
      <c r="EB379" s="108"/>
      <c r="EC379" s="108"/>
      <c r="ED379" s="108"/>
      <c r="EE379" s="108"/>
      <c r="EF379" s="108"/>
      <c r="EG379" s="108"/>
      <c r="EH379" s="108"/>
      <c r="EI379" s="108"/>
      <c r="EJ379" s="108"/>
      <c r="EK379" s="108"/>
      <c r="EL379" s="108"/>
      <c r="EM379" s="108"/>
      <c r="EN379" s="108"/>
      <c r="EO379" s="108"/>
      <c r="EP379" s="108"/>
      <c r="EQ379" s="108"/>
      <c r="ER379" s="108"/>
      <c r="ES379" s="108"/>
      <c r="ET379" s="108"/>
      <c r="EU379" s="108"/>
      <c r="EV379" s="108"/>
      <c r="EW379" s="108"/>
      <c r="EX379" s="108"/>
      <c r="EY379" s="108"/>
      <c r="EZ379" s="108"/>
      <c r="FA379" s="108"/>
      <c r="FB379" s="108"/>
      <c r="FC379" s="108"/>
      <c r="FD379" s="108"/>
      <c r="FE379" s="108"/>
      <c r="FF379" s="108"/>
      <c r="FG379" s="108"/>
      <c r="FH379" s="108"/>
      <c r="FI379" s="108"/>
      <c r="FJ379" s="108"/>
      <c r="FK379" s="108"/>
      <c r="FL379" s="108"/>
      <c r="FM379" s="108"/>
      <c r="FN379" s="108"/>
      <c r="FO379" s="108"/>
      <c r="FP379" s="108"/>
      <c r="FQ379" s="108"/>
      <c r="FR379" s="108"/>
      <c r="FS379" s="108"/>
      <c r="FT379" s="108"/>
      <c r="FU379" s="108"/>
      <c r="FV379" s="108"/>
      <c r="FW379" s="108"/>
      <c r="FX379" s="108"/>
      <c r="FY379" s="108"/>
      <c r="FZ379" s="108"/>
      <c r="GA379" s="108"/>
      <c r="GB379" s="108"/>
      <c r="GC379" s="108"/>
      <c r="GD379" s="108"/>
      <c r="GE379" s="108"/>
      <c r="GF379" s="108"/>
      <c r="GG379" s="108"/>
      <c r="GH379" s="108"/>
      <c r="GI379" s="108"/>
      <c r="GJ379" s="108"/>
      <c r="GK379" s="108"/>
      <c r="GL379" s="108"/>
      <c r="GM379" s="108"/>
      <c r="GN379" s="108"/>
      <c r="GO379" s="108"/>
      <c r="GP379" s="108"/>
      <c r="GQ379" s="108"/>
      <c r="GR379" s="108"/>
      <c r="GS379" s="108"/>
      <c r="GT379" s="108"/>
      <c r="GU379" s="108"/>
      <c r="GV379" s="108"/>
      <c r="GW379" s="108"/>
      <c r="GX379" s="108"/>
      <c r="GY379" s="108"/>
      <c r="GZ379" s="108"/>
      <c r="HA379" s="108"/>
      <c r="HB379" s="108"/>
      <c r="HC379" s="108"/>
      <c r="HD379" s="108"/>
      <c r="HE379" s="108"/>
      <c r="HF379" s="108"/>
      <c r="HG379" s="108"/>
      <c r="HH379" s="108"/>
      <c r="HI379" s="108"/>
      <c r="HJ379" s="108"/>
      <c r="HK379" s="108"/>
      <c r="HL379" s="108"/>
      <c r="HM379" s="108"/>
      <c r="HN379" s="108"/>
      <c r="HO379" s="108"/>
      <c r="HP379" s="108"/>
      <c r="HQ379" s="108"/>
      <c r="HR379" s="108"/>
      <c r="HS379" s="108"/>
      <c r="HT379" s="108"/>
      <c r="HU379" s="108"/>
      <c r="HV379" s="108"/>
      <c r="HW379" s="108"/>
      <c r="HX379" s="108"/>
      <c r="HY379" s="108"/>
      <c r="HZ379" s="108"/>
      <c r="IA379" s="108"/>
      <c r="IB379" s="108"/>
      <c r="IC379" s="108"/>
      <c r="ID379" s="108"/>
      <c r="IE379" s="108"/>
      <c r="IF379" s="108"/>
      <c r="IG379" s="108"/>
      <c r="IH379" s="108"/>
      <c r="II379" s="108"/>
      <c r="IJ379" s="108"/>
      <c r="IK379" s="108"/>
      <c r="IL379" s="108"/>
      <c r="IM379" s="108"/>
      <c r="IN379" s="108"/>
      <c r="IO379" s="108"/>
      <c r="IP379" s="108"/>
      <c r="IQ379" s="108"/>
      <c r="IR379" s="108"/>
      <c r="IS379" s="108"/>
      <c r="IT379" s="108"/>
      <c r="IU379" s="108"/>
      <c r="IV379" s="108"/>
    </row>
    <row r="380" spans="1:256" ht="12.75">
      <c r="A380" t="s">
        <v>317</v>
      </c>
      <c r="B380" s="5">
        <f>B378*B57+B379*B58-(B228+B229+B236+B237+B212+B213+B220+B221+B244+B245+B252+B253)-B266-B267</f>
        <v>0</v>
      </c>
      <c r="C380" s="5">
        <f>C378*C57+C379*C58-(C228+C229+C236+C237+C212+C213+C220+C221+C244+C245+C252+C253)-C266-C267</f>
        <v>0</v>
      </c>
      <c r="D380" s="5">
        <f>D378*D57+D379*D58-(D228+D229+D236+D237+D212+D213+D220+D221+D244+D245+D252+D253)-D266-D267</f>
        <v>-2.842170943040401E-14</v>
      </c>
      <c r="E380" s="5">
        <f>E378*E57+E379*E58-(E228+E229+E236+E237+E212+E213+E220+E221+E244+E245+E252+E253)-E266-E267</f>
        <v>5.329070518200751E-15</v>
      </c>
      <c r="F380" s="5">
        <f>F378*F57+F379*F58-(F228+F229+F236+F237+F212+F213+F220+F221+F244+F245+F252+F253)-F266-F267</f>
        <v>6.217248937900877E-15</v>
      </c>
      <c r="G380" s="5">
        <f>G378*G57+G379*G58-(G228+G229+G236+G237+G212+G213+G220+G221+G244+G245+G252+G253)-G266-G267</f>
        <v>0</v>
      </c>
      <c r="H380" s="5">
        <f>H378*H57+H379*H58-(H228+H229+H236+H237+H212+H213+H220+H221+H244+H245+H252+H253)-H266-H267</f>
        <v>0</v>
      </c>
      <c r="I380" s="5">
        <f>I378*I57+I379*I58-(I228+I229+I236+I237+I212+I213+I220+I221+I244+I245+I252+I253)-I266-I267</f>
        <v>0</v>
      </c>
      <c r="J380" s="5">
        <f>J378*J57+J379*J58-(J228+J229+J236+J237+J212+J213+J220+J221+J244+J245+J252+J253)-J266-J267</f>
        <v>0</v>
      </c>
      <c r="K380" s="5">
        <f>K378*K57+K379*K58-(K228+K229+K236+K237+K212+K213+K220+K221+K244+K245+K252+K253)-K266-K267</f>
        <v>0</v>
      </c>
      <c r="L380" s="5">
        <f>L378*L57+L379*L58-(L228+L229+L236+L237+L212+L213+L220+L221+L244+L245+L252+L253)-L266-L267</f>
        <v>0</v>
      </c>
      <c r="M380" s="5">
        <f>M378*M57+M379*M58-(M228+M229+M236+M237+M212+M213+M220+M221+M244+M245+M252+M253)-M266-M267</f>
        <v>0</v>
      </c>
      <c r="N380" s="5">
        <f>N378*N57+N379*N58-(N228+N229+N236+N237+N212+N213+N220+N221+N244+N245+N252+N253)-N266-N267</f>
        <v>0</v>
      </c>
      <c r="O380" s="5">
        <f>O378*O57+O379*O58-(O228+O229+O236+O237+O212+O213+O220+O221+O244+O245+O252+O253)-O266-O267</f>
        <v>-9.325873406851315E-15</v>
      </c>
      <c r="P380" s="5">
        <f>P378*P57+P379*P58-(P228+P229+P236+P237+P212+P213+P220+P221+P244+P245+P252+P253)-P266-P267</f>
        <v>1.2212453270876722E-15</v>
      </c>
      <c r="Q380" s="5">
        <f>Q378*Q57+Q379*Q58-(Q228+Q229+Q236+Q237+Q212+Q213+Q220+Q221+Q244+Q245+Q252+Q253)-Q266-Q267</f>
        <v>1.1102230246251565E-14</v>
      </c>
      <c r="R380" s="5">
        <f>R378*R57+R379*R58-(R228+R229+R236+R237+R212+R213+R220+R221+R244+R245+R252+R253)-R266-R267</f>
        <v>0</v>
      </c>
      <c r="S380" s="5">
        <f>S378*S57+S379*S58-(S228+S229+S236+S237+S212+S213+S220+S221+S244+S245+S252+S253)-S266-S267</f>
        <v>7.403799795469013E-15</v>
      </c>
      <c r="T380" s="5">
        <f>T378*T57+T379*T58-(T228+T229+T236+T237+T212+T213+T220+T221+T244+T245+T252+T253)-T266-T267</f>
        <v>4.773959005888173E-15</v>
      </c>
      <c r="U380" s="5">
        <f>U378*U57+U379*U58-(U228+U229+U236+U237+U212+U213+U220+U221+U244+U245+U252+U253)-U266-U267</f>
        <v>0</v>
      </c>
      <c r="V380" s="5">
        <f>V378*V57+V379*V58-(V228+V229+V236+V237+V212+V213+V220+V221+V244+V245+V252+V253)-V266-V267</f>
        <v>0</v>
      </c>
      <c r="W380" s="5">
        <f>W378*W57+W379*W58-(W228+W229+W236+W237+W212+W213+W220+W221+W244+W245+W252+W253)-W266-W267</f>
        <v>0</v>
      </c>
      <c r="X380" s="5">
        <f>X378*X57+X379*X58-(X228+X229+X236+X237+X212+X213+X220+X221+X244+X245+X252+X253)-X266-X267</f>
        <v>0</v>
      </c>
      <c r="Y380" s="5">
        <f>Y378*Y57+Y379*Y58-(Y228+Y229+Y236+Y237+Y212+Y213+Y220+Y221+Y244+Y245+Y252+Y253)-Y266-Y267</f>
        <v>1.4210854715202004E-14</v>
      </c>
      <c r="Z380" s="5">
        <f>Z378*Z57+Z379*Z58-(Z228+Z229+Z236+Z237+Z212+Z213+Z220+Z221+Z244+Z245+Z252+Z253)-Z266-Z267</f>
        <v>6.952240595613941E-15</v>
      </c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08"/>
      <c r="CY380" s="108"/>
      <c r="CZ380" s="108"/>
      <c r="DA380" s="108"/>
      <c r="DB380" s="108"/>
      <c r="DC380" s="108"/>
      <c r="DD380" s="108"/>
      <c r="DE380" s="108"/>
      <c r="DF380" s="108"/>
      <c r="DG380" s="108"/>
      <c r="DH380" s="108"/>
      <c r="DI380" s="108"/>
      <c r="DJ380" s="108"/>
      <c r="DK380" s="108"/>
      <c r="DL380" s="108"/>
      <c r="DM380" s="108"/>
      <c r="DN380" s="108"/>
      <c r="DO380" s="108"/>
      <c r="DP380" s="108"/>
      <c r="DQ380" s="108"/>
      <c r="DR380" s="108"/>
      <c r="DS380" s="108"/>
      <c r="DT380" s="108"/>
      <c r="DU380" s="108"/>
      <c r="DV380" s="108"/>
      <c r="DW380" s="108"/>
      <c r="DX380" s="108"/>
      <c r="DY380" s="108"/>
      <c r="DZ380" s="108"/>
      <c r="EA380" s="108"/>
      <c r="EB380" s="108"/>
      <c r="EC380" s="108"/>
      <c r="ED380" s="108"/>
      <c r="EE380" s="108"/>
      <c r="EF380" s="108"/>
      <c r="EG380" s="108"/>
      <c r="EH380" s="108"/>
      <c r="EI380" s="108"/>
      <c r="EJ380" s="108"/>
      <c r="EK380" s="108"/>
      <c r="EL380" s="108"/>
      <c r="EM380" s="108"/>
      <c r="EN380" s="108"/>
      <c r="EO380" s="108"/>
      <c r="EP380" s="108"/>
      <c r="EQ380" s="108"/>
      <c r="ER380" s="108"/>
      <c r="ES380" s="108"/>
      <c r="ET380" s="108"/>
      <c r="EU380" s="108"/>
      <c r="EV380" s="108"/>
      <c r="EW380" s="108"/>
      <c r="EX380" s="108"/>
      <c r="EY380" s="108"/>
      <c r="EZ380" s="108"/>
      <c r="FA380" s="108"/>
      <c r="FB380" s="108"/>
      <c r="FC380" s="108"/>
      <c r="FD380" s="108"/>
      <c r="FE380" s="108"/>
      <c r="FF380" s="108"/>
      <c r="FG380" s="108"/>
      <c r="FH380" s="108"/>
      <c r="FI380" s="108"/>
      <c r="FJ380" s="108"/>
      <c r="FK380" s="108"/>
      <c r="FL380" s="108"/>
      <c r="FM380" s="108"/>
      <c r="FN380" s="108"/>
      <c r="FO380" s="108"/>
      <c r="FP380" s="108"/>
      <c r="FQ380" s="108"/>
      <c r="FR380" s="108"/>
      <c r="FS380" s="108"/>
      <c r="FT380" s="108"/>
      <c r="FU380" s="108"/>
      <c r="FV380" s="108"/>
      <c r="FW380" s="108"/>
      <c r="FX380" s="108"/>
      <c r="FY380" s="108"/>
      <c r="FZ380" s="108"/>
      <c r="GA380" s="108"/>
      <c r="GB380" s="108"/>
      <c r="GC380" s="108"/>
      <c r="GD380" s="108"/>
      <c r="GE380" s="108"/>
      <c r="GF380" s="108"/>
      <c r="GG380" s="108"/>
      <c r="GH380" s="108"/>
      <c r="GI380" s="108"/>
      <c r="GJ380" s="108"/>
      <c r="GK380" s="108"/>
      <c r="GL380" s="108"/>
      <c r="GM380" s="108"/>
      <c r="GN380" s="108"/>
      <c r="GO380" s="108"/>
      <c r="GP380" s="108"/>
      <c r="GQ380" s="108"/>
      <c r="GR380" s="108"/>
      <c r="GS380" s="108"/>
      <c r="GT380" s="108"/>
      <c r="GU380" s="108"/>
      <c r="GV380" s="108"/>
      <c r="GW380" s="108"/>
      <c r="GX380" s="108"/>
      <c r="GY380" s="108"/>
      <c r="GZ380" s="108"/>
      <c r="HA380" s="108"/>
      <c r="HB380" s="108"/>
      <c r="HC380" s="108"/>
      <c r="HD380" s="108"/>
      <c r="HE380" s="108"/>
      <c r="HF380" s="108"/>
      <c r="HG380" s="108"/>
      <c r="HH380" s="108"/>
      <c r="HI380" s="108"/>
      <c r="HJ380" s="108"/>
      <c r="HK380" s="108"/>
      <c r="HL380" s="108"/>
      <c r="HM380" s="108"/>
      <c r="HN380" s="108"/>
      <c r="HO380" s="108"/>
      <c r="HP380" s="108"/>
      <c r="HQ380" s="108"/>
      <c r="HR380" s="108"/>
      <c r="HS380" s="108"/>
      <c r="HT380" s="108"/>
      <c r="HU380" s="108"/>
      <c r="HV380" s="108"/>
      <c r="HW380" s="108"/>
      <c r="HX380" s="108"/>
      <c r="HY380" s="108"/>
      <c r="HZ380" s="108"/>
      <c r="IA380" s="108"/>
      <c r="IB380" s="108"/>
      <c r="IC380" s="108"/>
      <c r="ID380" s="108"/>
      <c r="IE380" s="108"/>
      <c r="IF380" s="108"/>
      <c r="IG380" s="108"/>
      <c r="IH380" s="108"/>
      <c r="II380" s="108"/>
      <c r="IJ380" s="108"/>
      <c r="IK380" s="108"/>
      <c r="IL380" s="108"/>
      <c r="IM380" s="108"/>
      <c r="IN380" s="108"/>
      <c r="IO380" s="108"/>
      <c r="IP380" s="108"/>
      <c r="IQ380" s="108"/>
      <c r="IR380" s="108"/>
      <c r="IS380" s="108"/>
      <c r="IT380" s="108"/>
      <c r="IU380" s="108"/>
      <c r="IV380" s="108"/>
    </row>
    <row r="381" spans="2:256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  <c r="CW381" s="108"/>
      <c r="CX381" s="108"/>
      <c r="CY381" s="108"/>
      <c r="CZ381" s="108"/>
      <c r="DA381" s="108"/>
      <c r="DB381" s="108"/>
      <c r="DC381" s="108"/>
      <c r="DD381" s="108"/>
      <c r="DE381" s="108"/>
      <c r="DF381" s="108"/>
      <c r="DG381" s="108"/>
      <c r="DH381" s="108"/>
      <c r="DI381" s="108"/>
      <c r="DJ381" s="108"/>
      <c r="DK381" s="108"/>
      <c r="DL381" s="108"/>
      <c r="DM381" s="108"/>
      <c r="DN381" s="108"/>
      <c r="DO381" s="108"/>
      <c r="DP381" s="108"/>
      <c r="DQ381" s="108"/>
      <c r="DR381" s="108"/>
      <c r="DS381" s="108"/>
      <c r="DT381" s="108"/>
      <c r="DU381" s="108"/>
      <c r="DV381" s="108"/>
      <c r="DW381" s="108"/>
      <c r="DX381" s="108"/>
      <c r="DY381" s="108"/>
      <c r="DZ381" s="108"/>
      <c r="EA381" s="108"/>
      <c r="EB381" s="108"/>
      <c r="EC381" s="108"/>
      <c r="ED381" s="108"/>
      <c r="EE381" s="108"/>
      <c r="EF381" s="108"/>
      <c r="EG381" s="108"/>
      <c r="EH381" s="108"/>
      <c r="EI381" s="108"/>
      <c r="EJ381" s="108"/>
      <c r="EK381" s="108"/>
      <c r="EL381" s="108"/>
      <c r="EM381" s="108"/>
      <c r="EN381" s="108"/>
      <c r="EO381" s="108"/>
      <c r="EP381" s="108"/>
      <c r="EQ381" s="108"/>
      <c r="ER381" s="108"/>
      <c r="ES381" s="108"/>
      <c r="ET381" s="108"/>
      <c r="EU381" s="108"/>
      <c r="EV381" s="108"/>
      <c r="EW381" s="108"/>
      <c r="EX381" s="108"/>
      <c r="EY381" s="108"/>
      <c r="EZ381" s="108"/>
      <c r="FA381" s="108"/>
      <c r="FB381" s="108"/>
      <c r="FC381" s="108"/>
      <c r="FD381" s="108"/>
      <c r="FE381" s="108"/>
      <c r="FF381" s="108"/>
      <c r="FG381" s="108"/>
      <c r="FH381" s="108"/>
      <c r="FI381" s="108"/>
      <c r="FJ381" s="108"/>
      <c r="FK381" s="108"/>
      <c r="FL381" s="108"/>
      <c r="FM381" s="108"/>
      <c r="FN381" s="108"/>
      <c r="FO381" s="108"/>
      <c r="FP381" s="108"/>
      <c r="FQ381" s="108"/>
      <c r="FR381" s="108"/>
      <c r="FS381" s="108"/>
      <c r="FT381" s="108"/>
      <c r="FU381" s="108"/>
      <c r="FV381" s="108"/>
      <c r="FW381" s="108"/>
      <c r="FX381" s="108"/>
      <c r="FY381" s="108"/>
      <c r="FZ381" s="108"/>
      <c r="GA381" s="108"/>
      <c r="GB381" s="108"/>
      <c r="GC381" s="108"/>
      <c r="GD381" s="108"/>
      <c r="GE381" s="108"/>
      <c r="GF381" s="108"/>
      <c r="GG381" s="108"/>
      <c r="GH381" s="108"/>
      <c r="GI381" s="108"/>
      <c r="GJ381" s="108"/>
      <c r="GK381" s="108"/>
      <c r="GL381" s="108"/>
      <c r="GM381" s="108"/>
      <c r="GN381" s="108"/>
      <c r="GO381" s="108"/>
      <c r="GP381" s="108"/>
      <c r="GQ381" s="108"/>
      <c r="GR381" s="108"/>
      <c r="GS381" s="108"/>
      <c r="GT381" s="108"/>
      <c r="GU381" s="108"/>
      <c r="GV381" s="108"/>
      <c r="GW381" s="108"/>
      <c r="GX381" s="108"/>
      <c r="GY381" s="108"/>
      <c r="GZ381" s="108"/>
      <c r="HA381" s="108"/>
      <c r="HB381" s="108"/>
      <c r="HC381" s="108"/>
      <c r="HD381" s="108"/>
      <c r="HE381" s="108"/>
      <c r="HF381" s="108"/>
      <c r="HG381" s="108"/>
      <c r="HH381" s="108"/>
      <c r="HI381" s="108"/>
      <c r="HJ381" s="108"/>
      <c r="HK381" s="108"/>
      <c r="HL381" s="108"/>
      <c r="HM381" s="108"/>
      <c r="HN381" s="108"/>
      <c r="HO381" s="108"/>
      <c r="HP381" s="108"/>
      <c r="HQ381" s="108"/>
      <c r="HR381" s="108"/>
      <c r="HS381" s="108"/>
      <c r="HT381" s="108"/>
      <c r="HU381" s="108"/>
      <c r="HV381" s="108"/>
      <c r="HW381" s="108"/>
      <c r="HX381" s="108"/>
      <c r="HY381" s="108"/>
      <c r="HZ381" s="108"/>
      <c r="IA381" s="108"/>
      <c r="IB381" s="108"/>
      <c r="IC381" s="108"/>
      <c r="ID381" s="108"/>
      <c r="IE381" s="108"/>
      <c r="IF381" s="108"/>
      <c r="IG381" s="108"/>
      <c r="IH381" s="108"/>
      <c r="II381" s="108"/>
      <c r="IJ381" s="108"/>
      <c r="IK381" s="108"/>
      <c r="IL381" s="108"/>
      <c r="IM381" s="108"/>
      <c r="IN381" s="108"/>
      <c r="IO381" s="108"/>
      <c r="IP381" s="108"/>
      <c r="IQ381" s="108"/>
      <c r="IR381" s="108"/>
      <c r="IS381" s="108"/>
      <c r="IT381" s="108"/>
      <c r="IU381" s="108"/>
      <c r="IV381" s="108"/>
    </row>
    <row r="382" spans="1:26" s="128" customFormat="1" ht="12.75">
      <c r="A382" s="65"/>
      <c r="B382" s="66"/>
      <c r="C382" s="65"/>
      <c r="D382" s="65" t="s">
        <v>269</v>
      </c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56" ht="12.75">
      <c r="A383" t="s">
        <v>415</v>
      </c>
      <c r="B383" s="5">
        <f>B334*B58/((B55-B24)*B57+(B56-B25)*B58)</f>
        <v>0.8174343105345089</v>
      </c>
      <c r="C383" s="5">
        <f>C334*C58/((C55-C24)*C57+(C56-C25)*C58)</f>
        <v>0.5084710833168382</v>
      </c>
      <c r="D383" s="5">
        <f>D334*D58/((D55-D24)*D57+(D56-D25)*D58)</f>
        <v>-1.247530094294416</v>
      </c>
      <c r="E383" s="5">
        <f>E334*E58/((E55-E24)*E57+(E56-E25)*E58)</f>
        <v>-1.7831665920485595</v>
      </c>
      <c r="F383" s="5">
        <f>F334*F58/((F55-F24)*F57+(F56-F25)*F58)</f>
        <v>-1.4114567346106957</v>
      </c>
      <c r="G383" s="5">
        <f>G334*G58/((G55-G24)*G57+(G56-G25)*G58)</f>
        <v>-0.6717751771206464</v>
      </c>
      <c r="H383" s="5">
        <f>H334*H58/((H55-H24)*H57+(H56-H25)*H58)</f>
        <v>0.3609848582215686</v>
      </c>
      <c r="I383" s="5">
        <f>I334*I58/((I55-I24)*I57+(I56-I25)*I58)</f>
        <v>0.8963988575310148</v>
      </c>
      <c r="J383" s="5">
        <f>J334*J58/((J55-J24)*J57+(J56-J25)*J58)</f>
        <v>1.9724631917383377</v>
      </c>
      <c r="K383" s="5">
        <f>K334*K58/((K55-K24)*K57+(K56-K25)*K58)</f>
        <v>2.8495041834812684</v>
      </c>
      <c r="L383" s="5">
        <f>L334*L58/((L55-L24)*L57+(L56-L25)*L58)</f>
        <v>3.170703622252223</v>
      </c>
      <c r="M383" s="5">
        <f>M334*M58/((M55-M24)*M57+(M56-M25)*M58)</f>
        <v>4.754630858878709</v>
      </c>
      <c r="N383" s="5">
        <f>N334*N58/((N55-N24)*N57+(N56-N25)*N58)</f>
        <v>6.125575047854404</v>
      </c>
      <c r="O383" s="5">
        <f>O334*O58/((O55-O24)*O57+(O56-O25)*O58)</f>
        <v>4.817867863022001</v>
      </c>
      <c r="P383" s="5">
        <f>P334*P58/((P55-P24)*P57+(P56-P25)*P58)</f>
        <v>3.700985499362587</v>
      </c>
      <c r="Q383" s="5">
        <f>Q334*Q58/((Q55-Q24)*Q57+(Q56-Q25)*Q58)</f>
        <v>3.022319215191363</v>
      </c>
      <c r="R383" s="5">
        <f>R334*R58/((R55-R24)*R57+(R56-R25)*R58)</f>
        <v>0.0247743940711141</v>
      </c>
      <c r="S383" s="5">
        <f>S334*S58/((S55-S24)*S57+(S56-S25)*S58)</f>
        <v>-2.03612559884521</v>
      </c>
      <c r="T383" s="5">
        <f>T334*T58/((T55-T24)*T57+(T56-T25)*T58)</f>
        <v>-0.5427027207326177</v>
      </c>
      <c r="U383" s="5">
        <f>U334*U58/((U55-U24)*U57+(U56-U25)*U58)</f>
        <v>1.0893390285462428</v>
      </c>
      <c r="V383" s="5">
        <f>V334*V58/((V55-V24)*V57+(V56-V25)*V58)</f>
        <v>-2.83286331875599</v>
      </c>
      <c r="W383" s="5">
        <f>W334*W58/((W55-W24)*W57+(W56-W25)*W58)</f>
        <v>10.133426371465351</v>
      </c>
      <c r="X383" s="5">
        <f>X334*X58/((X55-X24)*X57+(X56-X25)*X58)</f>
        <v>4.763234141503207</v>
      </c>
      <c r="Y383" s="5">
        <f>Y334*Y58/((Y55-Y24)*Y57+(Y56-Y25)*Y58)</f>
        <v>4.652726136007936</v>
      </c>
      <c r="Z383" s="5">
        <f>Z334*Z58/((Z55-Z24)*Z57+(Z56-Z25)*Z58)</f>
        <v>3.21745545657958</v>
      </c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  <c r="CW383" s="108"/>
      <c r="CX383" s="108"/>
      <c r="CY383" s="108"/>
      <c r="CZ383" s="108"/>
      <c r="DA383" s="108"/>
      <c r="DB383" s="108"/>
      <c r="DC383" s="108"/>
      <c r="DD383" s="108"/>
      <c r="DE383" s="108"/>
      <c r="DF383" s="108"/>
      <c r="DG383" s="108"/>
      <c r="DH383" s="108"/>
      <c r="DI383" s="108"/>
      <c r="DJ383" s="108"/>
      <c r="DK383" s="108"/>
      <c r="DL383" s="108"/>
      <c r="DM383" s="108"/>
      <c r="DN383" s="108"/>
      <c r="DO383" s="108"/>
      <c r="DP383" s="108"/>
      <c r="DQ383" s="108"/>
      <c r="DR383" s="108"/>
      <c r="DS383" s="108"/>
      <c r="DT383" s="108"/>
      <c r="DU383" s="108"/>
      <c r="DV383" s="108"/>
      <c r="DW383" s="108"/>
      <c r="DX383" s="108"/>
      <c r="DY383" s="108"/>
      <c r="DZ383" s="108"/>
      <c r="EA383" s="108"/>
      <c r="EB383" s="108"/>
      <c r="EC383" s="108"/>
      <c r="ED383" s="108"/>
      <c r="EE383" s="108"/>
      <c r="EF383" s="108"/>
      <c r="EG383" s="108"/>
      <c r="EH383" s="108"/>
      <c r="EI383" s="108"/>
      <c r="EJ383" s="108"/>
      <c r="EK383" s="108"/>
      <c r="EL383" s="108"/>
      <c r="EM383" s="108"/>
      <c r="EN383" s="108"/>
      <c r="EO383" s="108"/>
      <c r="EP383" s="108"/>
      <c r="EQ383" s="108"/>
      <c r="ER383" s="108"/>
      <c r="ES383" s="108"/>
      <c r="ET383" s="108"/>
      <c r="EU383" s="108"/>
      <c r="EV383" s="108"/>
      <c r="EW383" s="108"/>
      <c r="EX383" s="108"/>
      <c r="EY383" s="108"/>
      <c r="EZ383" s="108"/>
      <c r="FA383" s="108"/>
      <c r="FB383" s="108"/>
      <c r="FC383" s="108"/>
      <c r="FD383" s="108"/>
      <c r="FE383" s="108"/>
      <c r="FF383" s="108"/>
      <c r="FG383" s="108"/>
      <c r="FH383" s="108"/>
      <c r="FI383" s="108"/>
      <c r="FJ383" s="108"/>
      <c r="FK383" s="108"/>
      <c r="FL383" s="108"/>
      <c r="FM383" s="108"/>
      <c r="FN383" s="108"/>
      <c r="FO383" s="108"/>
      <c r="FP383" s="108"/>
      <c r="FQ383" s="108"/>
      <c r="FR383" s="108"/>
      <c r="FS383" s="108"/>
      <c r="FT383" s="108"/>
      <c r="FU383" s="108"/>
      <c r="FV383" s="108"/>
      <c r="FW383" s="108"/>
      <c r="FX383" s="108"/>
      <c r="FY383" s="108"/>
      <c r="FZ383" s="108"/>
      <c r="GA383" s="108"/>
      <c r="GB383" s="108"/>
      <c r="GC383" s="108"/>
      <c r="GD383" s="108"/>
      <c r="GE383" s="108"/>
      <c r="GF383" s="108"/>
      <c r="GG383" s="108"/>
      <c r="GH383" s="108"/>
      <c r="GI383" s="108"/>
      <c r="GJ383" s="108"/>
      <c r="GK383" s="108"/>
      <c r="GL383" s="108"/>
      <c r="GM383" s="108"/>
      <c r="GN383" s="108"/>
      <c r="GO383" s="108"/>
      <c r="GP383" s="108"/>
      <c r="GQ383" s="108"/>
      <c r="GR383" s="108"/>
      <c r="GS383" s="108"/>
      <c r="GT383" s="108"/>
      <c r="GU383" s="108"/>
      <c r="GV383" s="108"/>
      <c r="GW383" s="108"/>
      <c r="GX383" s="108"/>
      <c r="GY383" s="108"/>
      <c r="GZ383" s="108"/>
      <c r="HA383" s="108"/>
      <c r="HB383" s="108"/>
      <c r="HC383" s="108"/>
      <c r="HD383" s="108"/>
      <c r="HE383" s="108"/>
      <c r="HF383" s="108"/>
      <c r="HG383" s="108"/>
      <c r="HH383" s="108"/>
      <c r="HI383" s="108"/>
      <c r="HJ383" s="108"/>
      <c r="HK383" s="108"/>
      <c r="HL383" s="108"/>
      <c r="HM383" s="108"/>
      <c r="HN383" s="108"/>
      <c r="HO383" s="108"/>
      <c r="HP383" s="108"/>
      <c r="HQ383" s="108"/>
      <c r="HR383" s="108"/>
      <c r="HS383" s="108"/>
      <c r="HT383" s="108"/>
      <c r="HU383" s="108"/>
      <c r="HV383" s="108"/>
      <c r="HW383" s="108"/>
      <c r="HX383" s="108"/>
      <c r="HY383" s="108"/>
      <c r="HZ383" s="108"/>
      <c r="IA383" s="108"/>
      <c r="IB383" s="108"/>
      <c r="IC383" s="108"/>
      <c r="ID383" s="108"/>
      <c r="IE383" s="108"/>
      <c r="IF383" s="108"/>
      <c r="IG383" s="108"/>
      <c r="IH383" s="108"/>
      <c r="II383" s="108"/>
      <c r="IJ383" s="108"/>
      <c r="IK383" s="108"/>
      <c r="IL383" s="108"/>
      <c r="IM383" s="108"/>
      <c r="IN383" s="108"/>
      <c r="IO383" s="108"/>
      <c r="IP383" s="108"/>
      <c r="IQ383" s="108"/>
      <c r="IR383" s="108"/>
      <c r="IS383" s="108"/>
      <c r="IT383" s="108"/>
      <c r="IU383" s="108"/>
      <c r="IV383" s="108"/>
    </row>
    <row r="384" spans="1:256" ht="12.75">
      <c r="A384" t="s">
        <v>416</v>
      </c>
      <c r="B384" s="5">
        <f>-B334*B57/((B55-B24)*B57+(B56-B25)*B58)</f>
        <v>-3.458780046427974</v>
      </c>
      <c r="C384" s="5">
        <f>-C334*C57/((C55-C24)*C57+(C56-C25)*C58)</f>
        <v>-6.593822947036846</v>
      </c>
      <c r="D384" s="5">
        <f>-D334*D57/((D55-D24)*D57+(D56-D25)*D58)</f>
        <v>-45.87133049583243</v>
      </c>
      <c r="E384" s="5">
        <f>-E334*E57/((E55-E24)*E57+(E56-E25)*E58)</f>
        <v>-24.977279138689184</v>
      </c>
      <c r="F384" s="5">
        <f>-F334*F57/((F55-F24)*F57+(F56-F25)*F58)</f>
        <v>-21.771712139778256</v>
      </c>
      <c r="G384" s="5">
        <f>-G334*G57/((G55-G24)*G57+(G56-G25)*G58)</f>
        <v>-30.71736699261545</v>
      </c>
      <c r="H384" s="5">
        <f>-H334*H57/((H55-H24)*H57+(H56-H25)*H58)</f>
        <v>-8.03679612291478</v>
      </c>
      <c r="I384" s="5">
        <f>-I334*I57/((I55-I24)*I57+(I56-I25)*I58)</f>
        <v>-7.071883717218927</v>
      </c>
      <c r="J384" s="5">
        <f>-J334*J57/((J55-J24)*J57+(J56-J25)*J58)</f>
        <v>-9.041402912304846</v>
      </c>
      <c r="K384" s="5">
        <f>-K334*K57/((K55-K24)*K57+(K56-K25)*K58)</f>
        <v>-9.023594981076245</v>
      </c>
      <c r="L384" s="5">
        <f>-L334*L57/((L55-L24)*L57+(L56-L25)*L58)</f>
        <v>-7.596158576784891</v>
      </c>
      <c r="M384" s="5">
        <f>-M334*M57/((M55-M24)*M57+(M56-M25)*M58)</f>
        <v>-9.122981281121053</v>
      </c>
      <c r="N384" s="5">
        <f>-N334*N57/((N55-N24)*N57+(N56-N25)*N58)</f>
        <v>-9.800892817829217</v>
      </c>
      <c r="O384" s="5">
        <f>-O334*O57/((O55-O24)*O57+(O56-O25)*O58)</f>
        <v>-6.634282429834817</v>
      </c>
      <c r="P384" s="5">
        <f>-P334*P57/((P55-P24)*P57+(P56-P25)*P58)</f>
        <v>-4.507101311180145</v>
      </c>
      <c r="Q384" s="5">
        <f>-Q334*Q57/((Q55-Q24)*Q57+(Q56-Q25)*Q58)</f>
        <v>-3.3396219304306847</v>
      </c>
      <c r="R384" s="5">
        <f>-R334*R57/((R55-R24)*R57+(R56-R25)*R58)</f>
        <v>-0.02549817667691643</v>
      </c>
      <c r="S384" s="5">
        <f>-S334*S57/((S55-S24)*S57+(S56-S25)*S58)</f>
        <v>2.008633199157509</v>
      </c>
      <c r="T384" s="5">
        <f>-T334*T57/((T55-T24)*T57+(T56-T25)*T58)</f>
        <v>0.5304573389323513</v>
      </c>
      <c r="U384" s="5">
        <f>-U334*U57/((U55-U24)*U57+(U56-U25)*U58)</f>
        <v>-1.0982561274612517</v>
      </c>
      <c r="V384" s="5">
        <f>-V334*V57/((V55-V24)*V57+(V56-V25)*V58)</f>
        <v>3.0990779412627187</v>
      </c>
      <c r="W384" s="5">
        <f>-W334*W57/((W55-W24)*W57+(W56-W25)*W58)</f>
        <v>-12.85471786924638</v>
      </c>
      <c r="X384" s="5">
        <f>-X334*X57/((X55-X24)*X57+(X56-X25)*X58)</f>
        <v>-7.673781830823515</v>
      </c>
      <c r="Y384" s="5">
        <f>-Y334*Y57/((Y55-Y24)*Y57+(Y56-Y25)*Y58)</f>
        <v>-10.875373530229293</v>
      </c>
      <c r="Z384" s="5">
        <f>-Z334*Z57/((Z55-Z24)*Z57+(Z56-Z25)*Z58)</f>
        <v>-13.613902169351698</v>
      </c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  <c r="CW384" s="108"/>
      <c r="CX384" s="108"/>
      <c r="CY384" s="108"/>
      <c r="CZ384" s="108"/>
      <c r="DA384" s="108"/>
      <c r="DB384" s="108"/>
      <c r="DC384" s="108"/>
      <c r="DD384" s="108"/>
      <c r="DE384" s="108"/>
      <c r="DF384" s="108"/>
      <c r="DG384" s="108"/>
      <c r="DH384" s="108"/>
      <c r="DI384" s="108"/>
      <c r="DJ384" s="108"/>
      <c r="DK384" s="108"/>
      <c r="DL384" s="108"/>
      <c r="DM384" s="108"/>
      <c r="DN384" s="108"/>
      <c r="DO384" s="108"/>
      <c r="DP384" s="108"/>
      <c r="DQ384" s="108"/>
      <c r="DR384" s="108"/>
      <c r="DS384" s="108"/>
      <c r="DT384" s="108"/>
      <c r="DU384" s="108"/>
      <c r="DV384" s="108"/>
      <c r="DW384" s="108"/>
      <c r="DX384" s="108"/>
      <c r="DY384" s="108"/>
      <c r="DZ384" s="108"/>
      <c r="EA384" s="108"/>
      <c r="EB384" s="108"/>
      <c r="EC384" s="108"/>
      <c r="ED384" s="108"/>
      <c r="EE384" s="108"/>
      <c r="EF384" s="108"/>
      <c r="EG384" s="108"/>
      <c r="EH384" s="108"/>
      <c r="EI384" s="108"/>
      <c r="EJ384" s="108"/>
      <c r="EK384" s="108"/>
      <c r="EL384" s="108"/>
      <c r="EM384" s="108"/>
      <c r="EN384" s="108"/>
      <c r="EO384" s="108"/>
      <c r="EP384" s="108"/>
      <c r="EQ384" s="108"/>
      <c r="ER384" s="108"/>
      <c r="ES384" s="108"/>
      <c r="ET384" s="108"/>
      <c r="EU384" s="108"/>
      <c r="EV384" s="108"/>
      <c r="EW384" s="108"/>
      <c r="EX384" s="108"/>
      <c r="EY384" s="108"/>
      <c r="EZ384" s="108"/>
      <c r="FA384" s="108"/>
      <c r="FB384" s="108"/>
      <c r="FC384" s="108"/>
      <c r="FD384" s="108"/>
      <c r="FE384" s="108"/>
      <c r="FF384" s="108"/>
      <c r="FG384" s="108"/>
      <c r="FH384" s="108"/>
      <c r="FI384" s="108"/>
      <c r="FJ384" s="108"/>
      <c r="FK384" s="108"/>
      <c r="FL384" s="108"/>
      <c r="FM384" s="108"/>
      <c r="FN384" s="108"/>
      <c r="FO384" s="108"/>
      <c r="FP384" s="108"/>
      <c r="FQ384" s="108"/>
      <c r="FR384" s="108"/>
      <c r="FS384" s="108"/>
      <c r="FT384" s="108"/>
      <c r="FU384" s="108"/>
      <c r="FV384" s="108"/>
      <c r="FW384" s="108"/>
      <c r="FX384" s="108"/>
      <c r="FY384" s="108"/>
      <c r="FZ384" s="108"/>
      <c r="GA384" s="108"/>
      <c r="GB384" s="108"/>
      <c r="GC384" s="108"/>
      <c r="GD384" s="108"/>
      <c r="GE384" s="108"/>
      <c r="GF384" s="108"/>
      <c r="GG384" s="108"/>
      <c r="GH384" s="108"/>
      <c r="GI384" s="108"/>
      <c r="GJ384" s="108"/>
      <c r="GK384" s="108"/>
      <c r="GL384" s="108"/>
      <c r="GM384" s="108"/>
      <c r="GN384" s="108"/>
      <c r="GO384" s="108"/>
      <c r="GP384" s="108"/>
      <c r="GQ384" s="108"/>
      <c r="GR384" s="108"/>
      <c r="GS384" s="108"/>
      <c r="GT384" s="108"/>
      <c r="GU384" s="108"/>
      <c r="GV384" s="108"/>
      <c r="GW384" s="108"/>
      <c r="GX384" s="108"/>
      <c r="GY384" s="108"/>
      <c r="GZ384" s="108"/>
      <c r="HA384" s="108"/>
      <c r="HB384" s="108"/>
      <c r="HC384" s="108"/>
      <c r="HD384" s="108"/>
      <c r="HE384" s="108"/>
      <c r="HF384" s="108"/>
      <c r="HG384" s="108"/>
      <c r="HH384" s="108"/>
      <c r="HI384" s="108"/>
      <c r="HJ384" s="108"/>
      <c r="HK384" s="108"/>
      <c r="HL384" s="108"/>
      <c r="HM384" s="108"/>
      <c r="HN384" s="108"/>
      <c r="HO384" s="108"/>
      <c r="HP384" s="108"/>
      <c r="HQ384" s="108"/>
      <c r="HR384" s="108"/>
      <c r="HS384" s="108"/>
      <c r="HT384" s="108"/>
      <c r="HU384" s="108"/>
      <c r="HV384" s="108"/>
      <c r="HW384" s="108"/>
      <c r="HX384" s="108"/>
      <c r="HY384" s="108"/>
      <c r="HZ384" s="108"/>
      <c r="IA384" s="108"/>
      <c r="IB384" s="108"/>
      <c r="IC384" s="108"/>
      <c r="ID384" s="108"/>
      <c r="IE384" s="108"/>
      <c r="IF384" s="108"/>
      <c r="IG384" s="108"/>
      <c r="IH384" s="108"/>
      <c r="II384" s="108"/>
      <c r="IJ384" s="108"/>
      <c r="IK384" s="108"/>
      <c r="IL384" s="108"/>
      <c r="IM384" s="108"/>
      <c r="IN384" s="108"/>
      <c r="IO384" s="108"/>
      <c r="IP384" s="108"/>
      <c r="IQ384" s="108"/>
      <c r="IR384" s="108"/>
      <c r="IS384" s="108"/>
      <c r="IT384" s="108"/>
      <c r="IU384" s="108"/>
      <c r="IV384" s="108"/>
    </row>
    <row r="385" spans="1:256" ht="12.75">
      <c r="A385" t="s">
        <v>417</v>
      </c>
      <c r="B385" s="5">
        <f>-B383</f>
        <v>-0.8174343105345089</v>
      </c>
      <c r="C385" s="5">
        <f>-C383</f>
        <v>-0.5084710833168382</v>
      </c>
      <c r="D385" s="5">
        <f>-D383</f>
        <v>1.247530094294416</v>
      </c>
      <c r="E385" s="5">
        <f>-E383</f>
        <v>1.7831665920485595</v>
      </c>
      <c r="F385" s="5">
        <f>-F383</f>
        <v>1.4114567346106957</v>
      </c>
      <c r="G385" s="5">
        <f>-G383</f>
        <v>0.6717751771206464</v>
      </c>
      <c r="H385" s="5">
        <f>-H383</f>
        <v>-0.3609848582215686</v>
      </c>
      <c r="I385" s="5">
        <f>-I383</f>
        <v>-0.8963988575310148</v>
      </c>
      <c r="J385" s="5">
        <f>-J383</f>
        <v>-1.9724631917383377</v>
      </c>
      <c r="K385" s="5">
        <f>-K383</f>
        <v>-2.8495041834812684</v>
      </c>
      <c r="L385" s="5">
        <f>-L383</f>
        <v>-3.170703622252223</v>
      </c>
      <c r="M385" s="5">
        <f>-M383</f>
        <v>-4.754630858878709</v>
      </c>
      <c r="N385" s="5">
        <f>-N383</f>
        <v>-6.125575047854404</v>
      </c>
      <c r="O385" s="5">
        <f>-O383</f>
        <v>-4.817867863022001</v>
      </c>
      <c r="P385" s="5">
        <f>-P383</f>
        <v>-3.700985499362587</v>
      </c>
      <c r="Q385" s="5">
        <f>-Q383</f>
        <v>-3.022319215191363</v>
      </c>
      <c r="R385" s="5">
        <f>-R383</f>
        <v>-0.0247743940711141</v>
      </c>
      <c r="S385" s="5">
        <f>-S383</f>
        <v>2.03612559884521</v>
      </c>
      <c r="T385" s="5">
        <f>-T383</f>
        <v>0.5427027207326177</v>
      </c>
      <c r="U385" s="5">
        <f>-U383</f>
        <v>-1.0893390285462428</v>
      </c>
      <c r="V385" s="5">
        <f>-V383</f>
        <v>2.83286331875599</v>
      </c>
      <c r="W385" s="5">
        <f>-W383</f>
        <v>-10.133426371465351</v>
      </c>
      <c r="X385" s="5">
        <f>-X383</f>
        <v>-4.763234141503207</v>
      </c>
      <c r="Y385" s="5">
        <f>-Y383</f>
        <v>-4.652726136007936</v>
      </c>
      <c r="Z385" s="5">
        <f>-Z383</f>
        <v>-3.21745545657958</v>
      </c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  <c r="CW385" s="108"/>
      <c r="CX385" s="108"/>
      <c r="CY385" s="108"/>
      <c r="CZ385" s="108"/>
      <c r="DA385" s="108"/>
      <c r="DB385" s="108"/>
      <c r="DC385" s="108"/>
      <c r="DD385" s="108"/>
      <c r="DE385" s="108"/>
      <c r="DF385" s="108"/>
      <c r="DG385" s="108"/>
      <c r="DH385" s="108"/>
      <c r="DI385" s="108"/>
      <c r="DJ385" s="108"/>
      <c r="DK385" s="108"/>
      <c r="DL385" s="108"/>
      <c r="DM385" s="108"/>
      <c r="DN385" s="108"/>
      <c r="DO385" s="108"/>
      <c r="DP385" s="108"/>
      <c r="DQ385" s="108"/>
      <c r="DR385" s="108"/>
      <c r="DS385" s="108"/>
      <c r="DT385" s="108"/>
      <c r="DU385" s="108"/>
      <c r="DV385" s="108"/>
      <c r="DW385" s="108"/>
      <c r="DX385" s="108"/>
      <c r="DY385" s="108"/>
      <c r="DZ385" s="108"/>
      <c r="EA385" s="108"/>
      <c r="EB385" s="108"/>
      <c r="EC385" s="108"/>
      <c r="ED385" s="108"/>
      <c r="EE385" s="108"/>
      <c r="EF385" s="108"/>
      <c r="EG385" s="108"/>
      <c r="EH385" s="108"/>
      <c r="EI385" s="108"/>
      <c r="EJ385" s="108"/>
      <c r="EK385" s="108"/>
      <c r="EL385" s="108"/>
      <c r="EM385" s="108"/>
      <c r="EN385" s="108"/>
      <c r="EO385" s="108"/>
      <c r="EP385" s="108"/>
      <c r="EQ385" s="108"/>
      <c r="ER385" s="108"/>
      <c r="ES385" s="108"/>
      <c r="ET385" s="108"/>
      <c r="EU385" s="108"/>
      <c r="EV385" s="108"/>
      <c r="EW385" s="108"/>
      <c r="EX385" s="108"/>
      <c r="EY385" s="108"/>
      <c r="EZ385" s="108"/>
      <c r="FA385" s="108"/>
      <c r="FB385" s="108"/>
      <c r="FC385" s="108"/>
      <c r="FD385" s="108"/>
      <c r="FE385" s="108"/>
      <c r="FF385" s="108"/>
      <c r="FG385" s="108"/>
      <c r="FH385" s="108"/>
      <c r="FI385" s="108"/>
      <c r="FJ385" s="108"/>
      <c r="FK385" s="108"/>
      <c r="FL385" s="108"/>
      <c r="FM385" s="108"/>
      <c r="FN385" s="108"/>
      <c r="FO385" s="108"/>
      <c r="FP385" s="108"/>
      <c r="FQ385" s="108"/>
      <c r="FR385" s="108"/>
      <c r="FS385" s="108"/>
      <c r="FT385" s="108"/>
      <c r="FU385" s="108"/>
      <c r="FV385" s="108"/>
      <c r="FW385" s="108"/>
      <c r="FX385" s="108"/>
      <c r="FY385" s="108"/>
      <c r="FZ385" s="108"/>
      <c r="GA385" s="108"/>
      <c r="GB385" s="108"/>
      <c r="GC385" s="108"/>
      <c r="GD385" s="108"/>
      <c r="GE385" s="108"/>
      <c r="GF385" s="108"/>
      <c r="GG385" s="108"/>
      <c r="GH385" s="108"/>
      <c r="GI385" s="108"/>
      <c r="GJ385" s="108"/>
      <c r="GK385" s="108"/>
      <c r="GL385" s="108"/>
      <c r="GM385" s="108"/>
      <c r="GN385" s="108"/>
      <c r="GO385" s="108"/>
      <c r="GP385" s="108"/>
      <c r="GQ385" s="108"/>
      <c r="GR385" s="108"/>
      <c r="GS385" s="108"/>
      <c r="GT385" s="108"/>
      <c r="GU385" s="108"/>
      <c r="GV385" s="108"/>
      <c r="GW385" s="108"/>
      <c r="GX385" s="108"/>
      <c r="GY385" s="108"/>
      <c r="GZ385" s="108"/>
      <c r="HA385" s="108"/>
      <c r="HB385" s="108"/>
      <c r="HC385" s="108"/>
      <c r="HD385" s="108"/>
      <c r="HE385" s="108"/>
      <c r="HF385" s="108"/>
      <c r="HG385" s="108"/>
      <c r="HH385" s="108"/>
      <c r="HI385" s="108"/>
      <c r="HJ385" s="108"/>
      <c r="HK385" s="108"/>
      <c r="HL385" s="108"/>
      <c r="HM385" s="108"/>
      <c r="HN385" s="108"/>
      <c r="HO385" s="108"/>
      <c r="HP385" s="108"/>
      <c r="HQ385" s="108"/>
      <c r="HR385" s="108"/>
      <c r="HS385" s="108"/>
      <c r="HT385" s="108"/>
      <c r="HU385" s="108"/>
      <c r="HV385" s="108"/>
      <c r="HW385" s="108"/>
      <c r="HX385" s="108"/>
      <c r="HY385" s="108"/>
      <c r="HZ385" s="108"/>
      <c r="IA385" s="108"/>
      <c r="IB385" s="108"/>
      <c r="IC385" s="108"/>
      <c r="ID385" s="108"/>
      <c r="IE385" s="108"/>
      <c r="IF385" s="108"/>
      <c r="IG385" s="108"/>
      <c r="IH385" s="108"/>
      <c r="II385" s="108"/>
      <c r="IJ385" s="108"/>
      <c r="IK385" s="108"/>
      <c r="IL385" s="108"/>
      <c r="IM385" s="108"/>
      <c r="IN385" s="108"/>
      <c r="IO385" s="108"/>
      <c r="IP385" s="108"/>
      <c r="IQ385" s="108"/>
      <c r="IR385" s="108"/>
      <c r="IS385" s="108"/>
      <c r="IT385" s="108"/>
      <c r="IU385" s="108"/>
      <c r="IV385" s="108"/>
    </row>
    <row r="386" spans="1:256" ht="12.75">
      <c r="A386" t="s">
        <v>418</v>
      </c>
      <c r="B386" s="5">
        <f>-B384</f>
        <v>3.458780046427974</v>
      </c>
      <c r="C386" s="5">
        <f>-C384</f>
        <v>6.593822947036846</v>
      </c>
      <c r="D386" s="5">
        <f>-D384</f>
        <v>45.87133049583243</v>
      </c>
      <c r="E386" s="5">
        <f>-E384</f>
        <v>24.977279138689184</v>
      </c>
      <c r="F386" s="5">
        <f>-F384</f>
        <v>21.771712139778256</v>
      </c>
      <c r="G386" s="5">
        <f>-G384</f>
        <v>30.71736699261545</v>
      </c>
      <c r="H386" s="5">
        <f>-H384</f>
        <v>8.03679612291478</v>
      </c>
      <c r="I386" s="5">
        <f>-I384</f>
        <v>7.071883717218927</v>
      </c>
      <c r="J386" s="5">
        <f>-J384</f>
        <v>9.041402912304846</v>
      </c>
      <c r="K386" s="5">
        <f>-K384</f>
        <v>9.023594981076245</v>
      </c>
      <c r="L386" s="5">
        <f>-L384</f>
        <v>7.596158576784891</v>
      </c>
      <c r="M386" s="5">
        <f>-M384</f>
        <v>9.122981281121053</v>
      </c>
      <c r="N386" s="5">
        <f>-N384</f>
        <v>9.800892817829217</v>
      </c>
      <c r="O386" s="5">
        <f>-O384</f>
        <v>6.634282429834817</v>
      </c>
      <c r="P386" s="5">
        <f>-P384</f>
        <v>4.507101311180145</v>
      </c>
      <c r="Q386" s="5">
        <f>-Q384</f>
        <v>3.3396219304306847</v>
      </c>
      <c r="R386" s="5">
        <f>-R384</f>
        <v>0.02549817667691643</v>
      </c>
      <c r="S386" s="5">
        <f>-S384</f>
        <v>-2.008633199157509</v>
      </c>
      <c r="T386" s="5">
        <f>-T384</f>
        <v>-0.5304573389323513</v>
      </c>
      <c r="U386" s="5">
        <f>-U384</f>
        <v>1.0982561274612517</v>
      </c>
      <c r="V386" s="5">
        <f>-V384</f>
        <v>-3.0990779412627187</v>
      </c>
      <c r="W386" s="5">
        <f>-W384</f>
        <v>12.85471786924638</v>
      </c>
      <c r="X386" s="5">
        <f>-X384</f>
        <v>7.673781830823515</v>
      </c>
      <c r="Y386" s="5">
        <f>-Y384</f>
        <v>10.875373530229293</v>
      </c>
      <c r="Z386" s="5">
        <f>-Z384</f>
        <v>13.613902169351698</v>
      </c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  <c r="CW386" s="108"/>
      <c r="CX386" s="108"/>
      <c r="CY386" s="108"/>
      <c r="CZ386" s="108"/>
      <c r="DA386" s="108"/>
      <c r="DB386" s="108"/>
      <c r="DC386" s="108"/>
      <c r="DD386" s="108"/>
      <c r="DE386" s="108"/>
      <c r="DF386" s="108"/>
      <c r="DG386" s="108"/>
      <c r="DH386" s="108"/>
      <c r="DI386" s="108"/>
      <c r="DJ386" s="108"/>
      <c r="DK386" s="108"/>
      <c r="DL386" s="108"/>
      <c r="DM386" s="108"/>
      <c r="DN386" s="108"/>
      <c r="DO386" s="108"/>
      <c r="DP386" s="108"/>
      <c r="DQ386" s="108"/>
      <c r="DR386" s="108"/>
      <c r="DS386" s="108"/>
      <c r="DT386" s="108"/>
      <c r="DU386" s="108"/>
      <c r="DV386" s="108"/>
      <c r="DW386" s="108"/>
      <c r="DX386" s="108"/>
      <c r="DY386" s="108"/>
      <c r="DZ386" s="108"/>
      <c r="EA386" s="108"/>
      <c r="EB386" s="108"/>
      <c r="EC386" s="108"/>
      <c r="ED386" s="108"/>
      <c r="EE386" s="108"/>
      <c r="EF386" s="108"/>
      <c r="EG386" s="108"/>
      <c r="EH386" s="108"/>
      <c r="EI386" s="108"/>
      <c r="EJ386" s="108"/>
      <c r="EK386" s="108"/>
      <c r="EL386" s="108"/>
      <c r="EM386" s="108"/>
      <c r="EN386" s="108"/>
      <c r="EO386" s="108"/>
      <c r="EP386" s="108"/>
      <c r="EQ386" s="108"/>
      <c r="ER386" s="108"/>
      <c r="ES386" s="108"/>
      <c r="ET386" s="108"/>
      <c r="EU386" s="108"/>
      <c r="EV386" s="108"/>
      <c r="EW386" s="108"/>
      <c r="EX386" s="108"/>
      <c r="EY386" s="108"/>
      <c r="EZ386" s="108"/>
      <c r="FA386" s="108"/>
      <c r="FB386" s="108"/>
      <c r="FC386" s="108"/>
      <c r="FD386" s="108"/>
      <c r="FE386" s="108"/>
      <c r="FF386" s="108"/>
      <c r="FG386" s="108"/>
      <c r="FH386" s="108"/>
      <c r="FI386" s="108"/>
      <c r="FJ386" s="108"/>
      <c r="FK386" s="108"/>
      <c r="FL386" s="108"/>
      <c r="FM386" s="108"/>
      <c r="FN386" s="108"/>
      <c r="FO386" s="108"/>
      <c r="FP386" s="108"/>
      <c r="FQ386" s="108"/>
      <c r="FR386" s="108"/>
      <c r="FS386" s="108"/>
      <c r="FT386" s="108"/>
      <c r="FU386" s="108"/>
      <c r="FV386" s="108"/>
      <c r="FW386" s="108"/>
      <c r="FX386" s="108"/>
      <c r="FY386" s="108"/>
      <c r="FZ386" s="108"/>
      <c r="GA386" s="108"/>
      <c r="GB386" s="108"/>
      <c r="GC386" s="108"/>
      <c r="GD386" s="108"/>
      <c r="GE386" s="108"/>
      <c r="GF386" s="108"/>
      <c r="GG386" s="108"/>
      <c r="GH386" s="108"/>
      <c r="GI386" s="108"/>
      <c r="GJ386" s="108"/>
      <c r="GK386" s="108"/>
      <c r="GL386" s="108"/>
      <c r="GM386" s="108"/>
      <c r="GN386" s="108"/>
      <c r="GO386" s="108"/>
      <c r="GP386" s="108"/>
      <c r="GQ386" s="108"/>
      <c r="GR386" s="108"/>
      <c r="GS386" s="108"/>
      <c r="GT386" s="108"/>
      <c r="GU386" s="108"/>
      <c r="GV386" s="108"/>
      <c r="GW386" s="108"/>
      <c r="GX386" s="108"/>
      <c r="GY386" s="108"/>
      <c r="GZ386" s="108"/>
      <c r="HA386" s="108"/>
      <c r="HB386" s="108"/>
      <c r="HC386" s="108"/>
      <c r="HD386" s="108"/>
      <c r="HE386" s="108"/>
      <c r="HF386" s="108"/>
      <c r="HG386" s="108"/>
      <c r="HH386" s="108"/>
      <c r="HI386" s="108"/>
      <c r="HJ386" s="108"/>
      <c r="HK386" s="108"/>
      <c r="HL386" s="108"/>
      <c r="HM386" s="108"/>
      <c r="HN386" s="108"/>
      <c r="HO386" s="108"/>
      <c r="HP386" s="108"/>
      <c r="HQ386" s="108"/>
      <c r="HR386" s="108"/>
      <c r="HS386" s="108"/>
      <c r="HT386" s="108"/>
      <c r="HU386" s="108"/>
      <c r="HV386" s="108"/>
      <c r="HW386" s="108"/>
      <c r="HX386" s="108"/>
      <c r="HY386" s="108"/>
      <c r="HZ386" s="108"/>
      <c r="IA386" s="108"/>
      <c r="IB386" s="108"/>
      <c r="IC386" s="108"/>
      <c r="ID386" s="108"/>
      <c r="IE386" s="108"/>
      <c r="IF386" s="108"/>
      <c r="IG386" s="108"/>
      <c r="IH386" s="108"/>
      <c r="II386" s="108"/>
      <c r="IJ386" s="108"/>
      <c r="IK386" s="108"/>
      <c r="IL386" s="108"/>
      <c r="IM386" s="108"/>
      <c r="IN386" s="108"/>
      <c r="IO386" s="108"/>
      <c r="IP386" s="108"/>
      <c r="IQ386" s="108"/>
      <c r="IR386" s="108"/>
      <c r="IS386" s="108"/>
      <c r="IT386" s="108"/>
      <c r="IU386" s="108"/>
      <c r="IV386" s="108"/>
    </row>
    <row r="387" spans="1:26" ht="12.75">
      <c r="A387" t="s">
        <v>295</v>
      </c>
      <c r="B387">
        <f>B383*B26+B384*B27-B334*B38</f>
        <v>0</v>
      </c>
      <c r="C387">
        <f>C383*C26+C384*C27-C334*C38</f>
        <v>0</v>
      </c>
      <c r="D387">
        <f>D383*D26+D384*D27-D334*D38</f>
        <v>0</v>
      </c>
      <c r="E387">
        <f>E383*E26+E384*E27-E334*E38</f>
        <v>0</v>
      </c>
      <c r="F387">
        <f>F383*F26+F384*F27-F334*F38</f>
        <v>0</v>
      </c>
      <c r="G387">
        <f>G383*G26+G384*G27-G334*G38</f>
        <v>0</v>
      </c>
      <c r="H387">
        <f>H383*H26+H384*H27-H334*H38</f>
        <v>0</v>
      </c>
      <c r="I387">
        <f>I383*I26+I384*I27-I334*I38</f>
        <v>0</v>
      </c>
      <c r="J387">
        <f>J383*J26+J384*J27-J334*J38</f>
        <v>0</v>
      </c>
      <c r="K387">
        <f>K383*K26+K384*K27-K334*K38</f>
        <v>0</v>
      </c>
      <c r="L387">
        <f>L383*L26+L384*L27-L334*L38</f>
        <v>0</v>
      </c>
      <c r="M387">
        <f>M383*M26+M384*M27-M334*M38</f>
        <v>0</v>
      </c>
      <c r="N387">
        <f>N383*N26+N384*N27-N334*N38</f>
        <v>0</v>
      </c>
      <c r="O387">
        <f>O383*O26+O384*O27-O334*O38</f>
        <v>0</v>
      </c>
      <c r="P387">
        <f>P383*P26+P384*P27-P334*P38</f>
        <v>0</v>
      </c>
      <c r="Q387">
        <f>Q383*Q26+Q384*Q27-Q334*Q38</f>
        <v>0</v>
      </c>
      <c r="R387">
        <f>R383*R26+R384*R27-R334*R38</f>
        <v>0</v>
      </c>
      <c r="S387">
        <f>S383*S26+S384*S27-S334*S38</f>
        <v>0</v>
      </c>
      <c r="T387">
        <f>T383*T26+T384*T27-T334*T38</f>
        <v>0</v>
      </c>
      <c r="U387">
        <f>U383*U26+U384*U27-U334*U38</f>
        <v>0</v>
      </c>
      <c r="V387">
        <f>V383*V26+V384*V27-V334*V38</f>
        <v>0</v>
      </c>
      <c r="W387">
        <f>W383*W26+W384*W27-W334*W38</f>
        <v>0</v>
      </c>
      <c r="X387">
        <f>X383*X26+X384*X27-X334*X38</f>
        <v>0</v>
      </c>
      <c r="Y387">
        <f>Y383*Y26+Y384*Y27-Y334*Y38</f>
        <v>0</v>
      </c>
      <c r="Z387">
        <f>Z383*Z26+Z384*Z27-Z334*Z38</f>
        <v>0</v>
      </c>
    </row>
    <row r="388" spans="1:256" ht="12.75">
      <c r="A388" t="s">
        <v>437</v>
      </c>
      <c r="B388" s="5">
        <f>B332+B383</f>
        <v>-0.18518498161745967</v>
      </c>
      <c r="C388" s="5">
        <f>C332+C383</f>
        <v>-5.085772017208351</v>
      </c>
      <c r="D388" s="5">
        <f>D332+D383</f>
        <v>-9.33348477822933</v>
      </c>
      <c r="E388" s="5">
        <f>E332+E383</f>
        <v>-7.039547592106713</v>
      </c>
      <c r="F388" s="5">
        <f>F332+F383</f>
        <v>-4.543970391062153</v>
      </c>
      <c r="G388" s="5">
        <f>G332+G383</f>
        <v>-3.7784553808763492</v>
      </c>
      <c r="H388" s="5">
        <f>H332+H383</f>
        <v>0.6666433945087871</v>
      </c>
      <c r="I388" s="5">
        <f>I332+I383</f>
        <v>4.23299298034296</v>
      </c>
      <c r="J388" s="5">
        <f>J332+J383</f>
        <v>4.205900336520471</v>
      </c>
      <c r="K388" s="5">
        <f>K332+K383</f>
        <v>5.447539814736581</v>
      </c>
      <c r="L388" s="5">
        <f>L332+L383</f>
        <v>7.156359615373179</v>
      </c>
      <c r="M388" s="5">
        <f>M332+M383</f>
        <v>5.873116387898528</v>
      </c>
      <c r="N388" s="5">
        <f>N332+N383</f>
        <v>5.285031108476991</v>
      </c>
      <c r="O388" s="5">
        <f>O332+O383</f>
        <v>6.781263052802893</v>
      </c>
      <c r="P388" s="5">
        <f>P332+P383</f>
        <v>6.875144073829002</v>
      </c>
      <c r="Q388" s="5">
        <f>Q332+Q383</f>
        <v>5.869799703359906</v>
      </c>
      <c r="R388" s="5">
        <f>R332+R383</f>
        <v>4.954535398582197</v>
      </c>
      <c r="S388" s="5">
        <f>S332+S383</f>
        <v>3.3120818480169696</v>
      </c>
      <c r="T388" s="5">
        <f>T332+T383</f>
        <v>1.2549752267260543</v>
      </c>
      <c r="U388" s="5">
        <f>U332+U383</f>
        <v>-0.6697283901187496</v>
      </c>
      <c r="V388" s="5">
        <f>V332+V383</f>
        <v>-4.44340985804836</v>
      </c>
      <c r="W388" s="5">
        <f>W332+W383</f>
        <v>9.6862139752887</v>
      </c>
      <c r="X388" s="5">
        <f>X332+X383</f>
        <v>2.6671220662697275</v>
      </c>
      <c r="Y388" s="5">
        <f>Y332+Y383</f>
        <v>0.8245188343625047</v>
      </c>
      <c r="Z388" s="5">
        <f>Z332+Z383</f>
        <v>-2.622230322400148</v>
      </c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  <c r="CW388" s="108"/>
      <c r="CX388" s="108"/>
      <c r="CY388" s="108"/>
      <c r="CZ388" s="108"/>
      <c r="DA388" s="108"/>
      <c r="DB388" s="108"/>
      <c r="DC388" s="108"/>
      <c r="DD388" s="108"/>
      <c r="DE388" s="108"/>
      <c r="DF388" s="108"/>
      <c r="DG388" s="108"/>
      <c r="DH388" s="108"/>
      <c r="DI388" s="108"/>
      <c r="DJ388" s="108"/>
      <c r="DK388" s="108"/>
      <c r="DL388" s="108"/>
      <c r="DM388" s="108"/>
      <c r="DN388" s="108"/>
      <c r="DO388" s="108"/>
      <c r="DP388" s="108"/>
      <c r="DQ388" s="108"/>
      <c r="DR388" s="108"/>
      <c r="DS388" s="108"/>
      <c r="DT388" s="108"/>
      <c r="DU388" s="108"/>
      <c r="DV388" s="108"/>
      <c r="DW388" s="108"/>
      <c r="DX388" s="108"/>
      <c r="DY388" s="108"/>
      <c r="DZ388" s="108"/>
      <c r="EA388" s="108"/>
      <c r="EB388" s="108"/>
      <c r="EC388" s="108"/>
      <c r="ED388" s="108"/>
      <c r="EE388" s="108"/>
      <c r="EF388" s="108"/>
      <c r="EG388" s="108"/>
      <c r="EH388" s="108"/>
      <c r="EI388" s="108"/>
      <c r="EJ388" s="108"/>
      <c r="EK388" s="108"/>
      <c r="EL388" s="108"/>
      <c r="EM388" s="108"/>
      <c r="EN388" s="108"/>
      <c r="EO388" s="108"/>
      <c r="EP388" s="108"/>
      <c r="EQ388" s="108"/>
      <c r="ER388" s="108"/>
      <c r="ES388" s="108"/>
      <c r="ET388" s="108"/>
      <c r="EU388" s="108"/>
      <c r="EV388" s="108"/>
      <c r="EW388" s="108"/>
      <c r="EX388" s="108"/>
      <c r="EY388" s="108"/>
      <c r="EZ388" s="108"/>
      <c r="FA388" s="108"/>
      <c r="FB388" s="108"/>
      <c r="FC388" s="108"/>
      <c r="FD388" s="108"/>
      <c r="FE388" s="108"/>
      <c r="FF388" s="108"/>
      <c r="FG388" s="108"/>
      <c r="FH388" s="108"/>
      <c r="FI388" s="108"/>
      <c r="FJ388" s="108"/>
      <c r="FK388" s="108"/>
      <c r="FL388" s="108"/>
      <c r="FM388" s="108"/>
      <c r="FN388" s="108"/>
      <c r="FO388" s="108"/>
      <c r="FP388" s="108"/>
      <c r="FQ388" s="108"/>
      <c r="FR388" s="108"/>
      <c r="FS388" s="108"/>
      <c r="FT388" s="108"/>
      <c r="FU388" s="108"/>
      <c r="FV388" s="108"/>
      <c r="FW388" s="108"/>
      <c r="FX388" s="108"/>
      <c r="FY388" s="108"/>
      <c r="FZ388" s="108"/>
      <c r="GA388" s="108"/>
      <c r="GB388" s="108"/>
      <c r="GC388" s="108"/>
      <c r="GD388" s="108"/>
      <c r="GE388" s="108"/>
      <c r="GF388" s="108"/>
      <c r="GG388" s="108"/>
      <c r="GH388" s="108"/>
      <c r="GI388" s="108"/>
      <c r="GJ388" s="108"/>
      <c r="GK388" s="108"/>
      <c r="GL388" s="108"/>
      <c r="GM388" s="108"/>
      <c r="GN388" s="108"/>
      <c r="GO388" s="108"/>
      <c r="GP388" s="108"/>
      <c r="GQ388" s="108"/>
      <c r="GR388" s="108"/>
      <c r="GS388" s="108"/>
      <c r="GT388" s="108"/>
      <c r="GU388" s="108"/>
      <c r="GV388" s="108"/>
      <c r="GW388" s="108"/>
      <c r="GX388" s="108"/>
      <c r="GY388" s="108"/>
      <c r="GZ388" s="108"/>
      <c r="HA388" s="108"/>
      <c r="HB388" s="108"/>
      <c r="HC388" s="108"/>
      <c r="HD388" s="108"/>
      <c r="HE388" s="108"/>
      <c r="HF388" s="108"/>
      <c r="HG388" s="108"/>
      <c r="HH388" s="108"/>
      <c r="HI388" s="108"/>
      <c r="HJ388" s="108"/>
      <c r="HK388" s="108"/>
      <c r="HL388" s="108"/>
      <c r="HM388" s="108"/>
      <c r="HN388" s="108"/>
      <c r="HO388" s="108"/>
      <c r="HP388" s="108"/>
      <c r="HQ388" s="108"/>
      <c r="HR388" s="108"/>
      <c r="HS388" s="108"/>
      <c r="HT388" s="108"/>
      <c r="HU388" s="108"/>
      <c r="HV388" s="108"/>
      <c r="HW388" s="108"/>
      <c r="HX388" s="108"/>
      <c r="HY388" s="108"/>
      <c r="HZ388" s="108"/>
      <c r="IA388" s="108"/>
      <c r="IB388" s="108"/>
      <c r="IC388" s="108"/>
      <c r="ID388" s="108"/>
      <c r="IE388" s="108"/>
      <c r="IF388" s="108"/>
      <c r="IG388" s="108"/>
      <c r="IH388" s="108"/>
      <c r="II388" s="108"/>
      <c r="IJ388" s="108"/>
      <c r="IK388" s="108"/>
      <c r="IL388" s="108"/>
      <c r="IM388" s="108"/>
      <c r="IN388" s="108"/>
      <c r="IO388" s="108"/>
      <c r="IP388" s="108"/>
      <c r="IQ388" s="108"/>
      <c r="IR388" s="108"/>
      <c r="IS388" s="108"/>
      <c r="IT388" s="108"/>
      <c r="IU388" s="108"/>
      <c r="IV388" s="108"/>
    </row>
    <row r="389" spans="1:256" ht="12.75">
      <c r="A389" t="s">
        <v>438</v>
      </c>
      <c r="B389" s="5">
        <f>B333+B384</f>
        <v>10.71883492469597</v>
      </c>
      <c r="C389" s="5">
        <f>C333+C384</f>
        <v>1.1350567643057667</v>
      </c>
      <c r="D389" s="5">
        <f>D333+D384</f>
        <v>-3.495859779262119</v>
      </c>
      <c r="E389" s="5">
        <f>E333+E384</f>
        <v>0.31141365913321906</v>
      </c>
      <c r="F389" s="5">
        <f>F333+F384</f>
        <v>1.8671263997634107</v>
      </c>
      <c r="G389" s="5">
        <f>G333+G384</f>
        <v>0.7677353016669706</v>
      </c>
      <c r="H389" s="5">
        <f>H333+H384</f>
        <v>2.230412046477305</v>
      </c>
      <c r="I389" s="5">
        <f>I333+I384</f>
        <v>6.900263726395646</v>
      </c>
      <c r="J389" s="5">
        <f>J333+J384</f>
        <v>6.012421876872267</v>
      </c>
      <c r="K389" s="5">
        <f>K333+K384</f>
        <v>7.132382011750613</v>
      </c>
      <c r="L389" s="5">
        <f>L333+L384</f>
        <v>9.513114180563068</v>
      </c>
      <c r="M389" s="5">
        <f>M333+M384</f>
        <v>8.736938040117124</v>
      </c>
      <c r="N389" s="5">
        <f>N333+N384</f>
        <v>9.010202169728215</v>
      </c>
      <c r="O389" s="5">
        <f>O333+O384</f>
        <v>13.442924453811875</v>
      </c>
      <c r="P389" s="5">
        <f>P333+P384</f>
        <v>16.70067363708732</v>
      </c>
      <c r="Q389" s="5">
        <f>Q333+Q384</f>
        <v>18.450634715879143</v>
      </c>
      <c r="R389" s="5">
        <f>R333+R384</f>
        <v>21.86785976547995</v>
      </c>
      <c r="S389" s="5">
        <f>S333+S384</f>
        <v>23.8863067194667</v>
      </c>
      <c r="T389" s="5">
        <f>T333+T384</f>
        <v>22.471371819807622</v>
      </c>
      <c r="U389" s="5">
        <f>U333+U384</f>
        <v>20.81906953436981</v>
      </c>
      <c r="V389" s="5">
        <f>V333+V384</f>
        <v>24.6730683456479</v>
      </c>
      <c r="W389" s="5">
        <f>W333+W384</f>
        <v>7.980256676974845</v>
      </c>
      <c r="X389" s="5">
        <f>X333+X384</f>
        <v>11.798630860005282</v>
      </c>
      <c r="Y389" s="5">
        <f>Y333+Y384</f>
        <v>6.213249362888735</v>
      </c>
      <c r="Z389" s="5">
        <f>Z333+Z384</f>
        <v>0.40705367412955695</v>
      </c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  <c r="CW389" s="108"/>
      <c r="CX389" s="108"/>
      <c r="CY389" s="108"/>
      <c r="CZ389" s="108"/>
      <c r="DA389" s="108"/>
      <c r="DB389" s="108"/>
      <c r="DC389" s="108"/>
      <c r="DD389" s="108"/>
      <c r="DE389" s="108"/>
      <c r="DF389" s="108"/>
      <c r="DG389" s="108"/>
      <c r="DH389" s="108"/>
      <c r="DI389" s="108"/>
      <c r="DJ389" s="108"/>
      <c r="DK389" s="108"/>
      <c r="DL389" s="108"/>
      <c r="DM389" s="108"/>
      <c r="DN389" s="108"/>
      <c r="DO389" s="108"/>
      <c r="DP389" s="108"/>
      <c r="DQ389" s="108"/>
      <c r="DR389" s="108"/>
      <c r="DS389" s="108"/>
      <c r="DT389" s="108"/>
      <c r="DU389" s="108"/>
      <c r="DV389" s="108"/>
      <c r="DW389" s="108"/>
      <c r="DX389" s="108"/>
      <c r="DY389" s="108"/>
      <c r="DZ389" s="108"/>
      <c r="EA389" s="108"/>
      <c r="EB389" s="108"/>
      <c r="EC389" s="108"/>
      <c r="ED389" s="108"/>
      <c r="EE389" s="108"/>
      <c r="EF389" s="108"/>
      <c r="EG389" s="108"/>
      <c r="EH389" s="108"/>
      <c r="EI389" s="108"/>
      <c r="EJ389" s="108"/>
      <c r="EK389" s="108"/>
      <c r="EL389" s="108"/>
      <c r="EM389" s="108"/>
      <c r="EN389" s="108"/>
      <c r="EO389" s="108"/>
      <c r="EP389" s="108"/>
      <c r="EQ389" s="108"/>
      <c r="ER389" s="108"/>
      <c r="ES389" s="108"/>
      <c r="ET389" s="108"/>
      <c r="EU389" s="108"/>
      <c r="EV389" s="108"/>
      <c r="EW389" s="108"/>
      <c r="EX389" s="108"/>
      <c r="EY389" s="108"/>
      <c r="EZ389" s="108"/>
      <c r="FA389" s="108"/>
      <c r="FB389" s="108"/>
      <c r="FC389" s="108"/>
      <c r="FD389" s="108"/>
      <c r="FE389" s="108"/>
      <c r="FF389" s="108"/>
      <c r="FG389" s="108"/>
      <c r="FH389" s="108"/>
      <c r="FI389" s="108"/>
      <c r="FJ389" s="108"/>
      <c r="FK389" s="108"/>
      <c r="FL389" s="108"/>
      <c r="FM389" s="108"/>
      <c r="FN389" s="108"/>
      <c r="FO389" s="108"/>
      <c r="FP389" s="108"/>
      <c r="FQ389" s="108"/>
      <c r="FR389" s="108"/>
      <c r="FS389" s="108"/>
      <c r="FT389" s="108"/>
      <c r="FU389" s="108"/>
      <c r="FV389" s="108"/>
      <c r="FW389" s="108"/>
      <c r="FX389" s="108"/>
      <c r="FY389" s="108"/>
      <c r="FZ389" s="108"/>
      <c r="GA389" s="108"/>
      <c r="GB389" s="108"/>
      <c r="GC389" s="108"/>
      <c r="GD389" s="108"/>
      <c r="GE389" s="108"/>
      <c r="GF389" s="108"/>
      <c r="GG389" s="108"/>
      <c r="GH389" s="108"/>
      <c r="GI389" s="108"/>
      <c r="GJ389" s="108"/>
      <c r="GK389" s="108"/>
      <c r="GL389" s="108"/>
      <c r="GM389" s="108"/>
      <c r="GN389" s="108"/>
      <c r="GO389" s="108"/>
      <c r="GP389" s="108"/>
      <c r="GQ389" s="108"/>
      <c r="GR389" s="108"/>
      <c r="GS389" s="108"/>
      <c r="GT389" s="108"/>
      <c r="GU389" s="108"/>
      <c r="GV389" s="108"/>
      <c r="GW389" s="108"/>
      <c r="GX389" s="108"/>
      <c r="GY389" s="108"/>
      <c r="GZ389" s="108"/>
      <c r="HA389" s="108"/>
      <c r="HB389" s="108"/>
      <c r="HC389" s="108"/>
      <c r="HD389" s="108"/>
      <c r="HE389" s="108"/>
      <c r="HF389" s="108"/>
      <c r="HG389" s="108"/>
      <c r="HH389" s="108"/>
      <c r="HI389" s="108"/>
      <c r="HJ389" s="108"/>
      <c r="HK389" s="108"/>
      <c r="HL389" s="108"/>
      <c r="HM389" s="108"/>
      <c r="HN389" s="108"/>
      <c r="HO389" s="108"/>
      <c r="HP389" s="108"/>
      <c r="HQ389" s="108"/>
      <c r="HR389" s="108"/>
      <c r="HS389" s="108"/>
      <c r="HT389" s="108"/>
      <c r="HU389" s="108"/>
      <c r="HV389" s="108"/>
      <c r="HW389" s="108"/>
      <c r="HX389" s="108"/>
      <c r="HY389" s="108"/>
      <c r="HZ389" s="108"/>
      <c r="IA389" s="108"/>
      <c r="IB389" s="108"/>
      <c r="IC389" s="108"/>
      <c r="ID389" s="108"/>
      <c r="IE389" s="108"/>
      <c r="IF389" s="108"/>
      <c r="IG389" s="108"/>
      <c r="IH389" s="108"/>
      <c r="II389" s="108"/>
      <c r="IJ389" s="108"/>
      <c r="IK389" s="108"/>
      <c r="IL389" s="108"/>
      <c r="IM389" s="108"/>
      <c r="IN389" s="108"/>
      <c r="IO389" s="108"/>
      <c r="IP389" s="108"/>
      <c r="IQ389" s="108"/>
      <c r="IR389" s="108"/>
      <c r="IS389" s="108"/>
      <c r="IT389" s="108"/>
      <c r="IU389" s="108"/>
      <c r="IV389" s="108"/>
    </row>
    <row r="390" spans="1:26" s="108" customFormat="1" ht="12.75">
      <c r="A390" s="5" t="s">
        <v>317</v>
      </c>
      <c r="B390" s="5">
        <f>B388*B26+B389*B27-(B228+B229+B236+B237+B212+B213+B220+B221+B244+B245+B252+B253+B204+B205)-B266-B267</f>
        <v>0</v>
      </c>
      <c r="C390" s="5">
        <f>C388*C26+C389*C27-(C228+C229+C236+C237+C212+C213+C220+C221+C244+C245+C252+C253+C204+C205)-C266-C267</f>
        <v>0</v>
      </c>
      <c r="D390" s="5">
        <f>D388*D26+D389*D27-(D228+D229+D236+D237+D212+D213+D220+D221+D244+D245+D252+D253+D204+D205)-D266-D267</f>
        <v>-1.5987211554602254E-14</v>
      </c>
      <c r="E390" s="5">
        <f>E388*E26+E389*E27-(E228+E229+E236+E237+E212+E213+E220+E221+E244+E245+E252+E253+E204+E205)-E266-E267</f>
        <v>1.3322676295501878E-14</v>
      </c>
      <c r="F390" s="5">
        <f>F388*F26+F389*F27-(F228+F229+F236+F237+F212+F213+F220+F221+F244+F245+F252+F253+F204+F205)-F266-F267</f>
        <v>0</v>
      </c>
      <c r="G390" s="5">
        <f>G388*G26+G389*G27-(G228+G229+G236+G237+G212+G213+G220+G221+G244+G245+G252+G253+G204+G205)-G266-G267</f>
        <v>4.551914400963142E-15</v>
      </c>
      <c r="H390" s="5">
        <f>H388*H26+H389*H27-(H228+H229+H236+H237+H212+H213+H220+H221+H244+H245+H252+H253+H204+H205)-H266-H267</f>
        <v>0</v>
      </c>
      <c r="I390" s="5">
        <f>I388*I26+I389*I27-(I228+I229+I236+I237+I212+I213+I220+I221+I244+I245+I252+I253+I204+I205)-I266-I267</f>
        <v>0</v>
      </c>
      <c r="J390" s="5">
        <f>J388*J26+J389*J27-(J228+J229+J236+J237+J212+J213+J220+J221+J244+J245+J252+J253+J204+J205)-J266-J267</f>
        <v>0</v>
      </c>
      <c r="K390" s="5">
        <f>K388*K26+K389*K27-(K228+K229+K236+K237+K212+K213+K220+K221+K244+K245+K252+K253+K204+K205)-K266-K267</f>
        <v>0</v>
      </c>
      <c r="L390" s="5">
        <f>L388*L26+L389*L27-(L228+L229+L236+L237+L212+L213+L220+L221+L244+L245+L252+L253+L204+L205)-L266-L267</f>
        <v>1.509903313490213E-14</v>
      </c>
      <c r="M390" s="5">
        <f>M388*M26+M389*M27-(M228+M229+M236+M237+M212+M213+M220+M221+M244+M245+M252+M253+M204+M205)-M266-M267</f>
        <v>5.773159728050814E-15</v>
      </c>
      <c r="N390" s="5">
        <f>N388*N26+N389*N27-(N228+N229+N236+N237+N212+N213+N220+N221+N244+N245+N252+N253+N204+N205)-N266-N267</f>
        <v>0</v>
      </c>
      <c r="O390" s="5">
        <f>O388*O26+O389*O27-(O228+O229+O236+O237+O212+O213+O220+O221+O244+O245+O252+O253+O204+O205)-O266-O267</f>
        <v>-9.325873406851315E-15</v>
      </c>
      <c r="P390" s="5">
        <f>P388*P26+P389*P27-(P228+P229+P236+P237+P212+P213+P220+P221+P244+P245+P252+P253+P204+P205)-P266-P267</f>
        <v>-9.43689570931383E-15</v>
      </c>
      <c r="Q390" s="5">
        <f>Q388*Q26+Q389*Q27-(Q228+Q229+Q236+Q237+Q212+Q213+Q220+Q221+Q244+Q245+Q252+Q253+Q204+Q205)-Q266-Q267</f>
        <v>9.325873406851315E-15</v>
      </c>
      <c r="R390" s="5">
        <f>R388*R26+R389*R27-(R228+R229+R236+R237+R212+R213+R220+R221+R244+R245+R252+R253+R204+R205)-R266-R267</f>
        <v>0</v>
      </c>
      <c r="S390" s="5">
        <f>S388*S26+S389*S27-(S228+S229+S236+S237+S212+S213+S220+S221+S244+S245+S252+S253+S204+S205)-S266-S267</f>
        <v>8.291978215169138E-15</v>
      </c>
      <c r="T390" s="5">
        <f>T388*T26+T389*T27-(T228+T229+T236+T237+T212+T213+T220+T221+T244+T245+T252+T253+T204+T205)-T266-T267</f>
        <v>6.106226635438361E-15</v>
      </c>
      <c r="U390" s="5">
        <f>U388*U26+U389*U27-(U228+U229+U236+U237+U212+U213+U220+U221+U244+U245+U252+U253+U204+U205)-U266-U267</f>
        <v>0</v>
      </c>
      <c r="V390" s="5">
        <f>V388*V26+V389*V27-(V228+V229+V236+V237+V212+V213+V220+V221+V244+V245+V252+V253+V204+V205)-V266-V267</f>
        <v>0</v>
      </c>
      <c r="W390" s="5">
        <f>W388*W26+W389*W27-(W228+W229+W236+W237+W212+W213+W220+W221+W244+W245+W252+W253+W204+W205)-W266-W267</f>
        <v>0</v>
      </c>
      <c r="X390" s="5">
        <f>X388*X26+X389*X27-(X228+X229+X236+X237+X212+X213+X220+X221+X244+X245+X252+X253+X204+X205)-X266-X267</f>
        <v>0</v>
      </c>
      <c r="Y390" s="5">
        <f>Y388*Y26+Y389*Y27-(Y228+Y229+Y236+Y237+Y212+Y213+Y220+Y221+Y244+Y245+Y252+Y253+Y204+Y205)-Y266-Y267</f>
        <v>0</v>
      </c>
      <c r="Z390" s="5">
        <f>Z388*Z26+Z389*Z27-(Z228+Z229+Z236+Z237+Z212+Z213+Z220+Z221+Z244+Z245+Z252+Z253+Z204+Z205)-Z266-Z267</f>
        <v>-5.704301885112844E-15</v>
      </c>
    </row>
    <row r="392" ht="12.75">
      <c r="D392" t="s">
        <v>439</v>
      </c>
    </row>
    <row r="393" spans="1:256" ht="12.75">
      <c r="A393" t="s">
        <v>337</v>
      </c>
      <c r="B393" s="5">
        <f>B388+B193</f>
        <v>1.8148150183825402</v>
      </c>
      <c r="C393" s="5">
        <f>C388+C193</f>
        <v>-3.1539203646302143</v>
      </c>
      <c r="D393" s="5">
        <f>D388+D193</f>
        <v>-7.601433970660453</v>
      </c>
      <c r="E393" s="5">
        <f>E388+E193</f>
        <v>-5.625334029733618</v>
      </c>
      <c r="F393" s="5">
        <f>F388+F193</f>
        <v>-3.543970391062153</v>
      </c>
      <c r="G393" s="5">
        <f>G388+G193</f>
        <v>-3.2608172906713078</v>
      </c>
      <c r="H393" s="5">
        <f>H388+H193</f>
        <v>0.6666433945087872</v>
      </c>
      <c r="I393" s="5">
        <f>I388+I193</f>
        <v>3.7153548901379185</v>
      </c>
      <c r="J393" s="5">
        <f>J388+J193</f>
        <v>3.2059003365204712</v>
      </c>
      <c r="K393" s="5">
        <f>K388+K193</f>
        <v>4.033326252363486</v>
      </c>
      <c r="L393" s="5">
        <f>L388+L193</f>
        <v>5.424308807804302</v>
      </c>
      <c r="M393" s="5">
        <f>M388+M193</f>
        <v>3.9412647353203916</v>
      </c>
      <c r="N393" s="5">
        <f>N388+N193</f>
        <v>3.285031108476991</v>
      </c>
      <c r="O393" s="5">
        <f>O388+O193</f>
        <v>4.849411400224756</v>
      </c>
      <c r="P393" s="5">
        <f>P388+P193</f>
        <v>5.143093266260125</v>
      </c>
      <c r="Q393" s="5">
        <f>Q388+Q193</f>
        <v>4.45558614098681</v>
      </c>
      <c r="R393" s="5">
        <f>R388+R193</f>
        <v>3.9545353985821965</v>
      </c>
      <c r="S393" s="5">
        <f>S388+S193</f>
        <v>2.794443757811928</v>
      </c>
      <c r="T393" s="5">
        <f>T388+T193</f>
        <v>1.2549752267260539</v>
      </c>
      <c r="U393" s="5">
        <f>U388+U193</f>
        <v>-0.15209029991370904</v>
      </c>
      <c r="V393" s="5">
        <f>V388+V193</f>
        <v>-3.4434098580483603</v>
      </c>
      <c r="W393" s="5">
        <f>W388+W193</f>
        <v>11.100427537661794</v>
      </c>
      <c r="X393" s="5">
        <f>X388+X193</f>
        <v>4.399172873838604</v>
      </c>
      <c r="Y393" s="5">
        <f>Y388+Y193</f>
        <v>2.756370486940641</v>
      </c>
      <c r="Z393" s="5">
        <f>Z388+Z193</f>
        <v>-0.622230322400148</v>
      </c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  <c r="CW393" s="108"/>
      <c r="CX393" s="108"/>
      <c r="CY393" s="108"/>
      <c r="CZ393" s="108"/>
      <c r="DA393" s="108"/>
      <c r="DB393" s="108"/>
      <c r="DC393" s="108"/>
      <c r="DD393" s="108"/>
      <c r="DE393" s="108"/>
      <c r="DF393" s="108"/>
      <c r="DG393" s="108"/>
      <c r="DH393" s="108"/>
      <c r="DI393" s="108"/>
      <c r="DJ393" s="108"/>
      <c r="DK393" s="108"/>
      <c r="DL393" s="108"/>
      <c r="DM393" s="108"/>
      <c r="DN393" s="108"/>
      <c r="DO393" s="108"/>
      <c r="DP393" s="108"/>
      <c r="DQ393" s="108"/>
      <c r="DR393" s="108"/>
      <c r="DS393" s="108"/>
      <c r="DT393" s="108"/>
      <c r="DU393" s="108"/>
      <c r="DV393" s="108"/>
      <c r="DW393" s="108"/>
      <c r="DX393" s="108"/>
      <c r="DY393" s="108"/>
      <c r="DZ393" s="108"/>
      <c r="EA393" s="108"/>
      <c r="EB393" s="108"/>
      <c r="EC393" s="108"/>
      <c r="ED393" s="108"/>
      <c r="EE393" s="108"/>
      <c r="EF393" s="108"/>
      <c r="EG393" s="108"/>
      <c r="EH393" s="108"/>
      <c r="EI393" s="108"/>
      <c r="EJ393" s="108"/>
      <c r="EK393" s="108"/>
      <c r="EL393" s="108"/>
      <c r="EM393" s="108"/>
      <c r="EN393" s="108"/>
      <c r="EO393" s="108"/>
      <c r="EP393" s="108"/>
      <c r="EQ393" s="108"/>
      <c r="ER393" s="108"/>
      <c r="ES393" s="108"/>
      <c r="ET393" s="108"/>
      <c r="EU393" s="108"/>
      <c r="EV393" s="108"/>
      <c r="EW393" s="108"/>
      <c r="EX393" s="108"/>
      <c r="EY393" s="108"/>
      <c r="EZ393" s="108"/>
      <c r="FA393" s="108"/>
      <c r="FB393" s="108"/>
      <c r="FC393" s="108"/>
      <c r="FD393" s="108"/>
      <c r="FE393" s="108"/>
      <c r="FF393" s="108"/>
      <c r="FG393" s="108"/>
      <c r="FH393" s="108"/>
      <c r="FI393" s="108"/>
      <c r="FJ393" s="108"/>
      <c r="FK393" s="108"/>
      <c r="FL393" s="108"/>
      <c r="FM393" s="108"/>
      <c r="FN393" s="108"/>
      <c r="FO393" s="108"/>
      <c r="FP393" s="108"/>
      <c r="FQ393" s="108"/>
      <c r="FR393" s="108"/>
      <c r="FS393" s="108"/>
      <c r="FT393" s="108"/>
      <c r="FU393" s="108"/>
      <c r="FV393" s="108"/>
      <c r="FW393" s="108"/>
      <c r="FX393" s="108"/>
      <c r="FY393" s="108"/>
      <c r="FZ393" s="108"/>
      <c r="GA393" s="108"/>
      <c r="GB393" s="108"/>
      <c r="GC393" s="108"/>
      <c r="GD393" s="108"/>
      <c r="GE393" s="108"/>
      <c r="GF393" s="108"/>
      <c r="GG393" s="108"/>
      <c r="GH393" s="108"/>
      <c r="GI393" s="108"/>
      <c r="GJ393" s="108"/>
      <c r="GK393" s="108"/>
      <c r="GL393" s="108"/>
      <c r="GM393" s="108"/>
      <c r="GN393" s="108"/>
      <c r="GO393" s="108"/>
      <c r="GP393" s="108"/>
      <c r="GQ393" s="108"/>
      <c r="GR393" s="108"/>
      <c r="GS393" s="108"/>
      <c r="GT393" s="108"/>
      <c r="GU393" s="108"/>
      <c r="GV393" s="108"/>
      <c r="GW393" s="108"/>
      <c r="GX393" s="108"/>
      <c r="GY393" s="108"/>
      <c r="GZ393" s="108"/>
      <c r="HA393" s="108"/>
      <c r="HB393" s="108"/>
      <c r="HC393" s="108"/>
      <c r="HD393" s="108"/>
      <c r="HE393" s="108"/>
      <c r="HF393" s="108"/>
      <c r="HG393" s="108"/>
      <c r="HH393" s="108"/>
      <c r="HI393" s="108"/>
      <c r="HJ393" s="108"/>
      <c r="HK393" s="108"/>
      <c r="HL393" s="108"/>
      <c r="HM393" s="108"/>
      <c r="HN393" s="108"/>
      <c r="HO393" s="108"/>
      <c r="HP393" s="108"/>
      <c r="HQ393" s="108"/>
      <c r="HR393" s="108"/>
      <c r="HS393" s="108"/>
      <c r="HT393" s="108"/>
      <c r="HU393" s="108"/>
      <c r="HV393" s="108"/>
      <c r="HW393" s="108"/>
      <c r="HX393" s="108"/>
      <c r="HY393" s="108"/>
      <c r="HZ393" s="108"/>
      <c r="IA393" s="108"/>
      <c r="IB393" s="108"/>
      <c r="IC393" s="108"/>
      <c r="ID393" s="108"/>
      <c r="IE393" s="108"/>
      <c r="IF393" s="108"/>
      <c r="IG393" s="108"/>
      <c r="IH393" s="108"/>
      <c r="II393" s="108"/>
      <c r="IJ393" s="108"/>
      <c r="IK393" s="108"/>
      <c r="IL393" s="108"/>
      <c r="IM393" s="108"/>
      <c r="IN393" s="108"/>
      <c r="IO393" s="108"/>
      <c r="IP393" s="108"/>
      <c r="IQ393" s="108"/>
      <c r="IR393" s="108"/>
      <c r="IS393" s="108"/>
      <c r="IT393" s="108"/>
      <c r="IU393" s="108"/>
      <c r="IV393" s="108"/>
    </row>
    <row r="394" spans="1:256" ht="12.75">
      <c r="A394" t="s">
        <v>338</v>
      </c>
      <c r="B394" s="5">
        <f>B389+B194+$B$339</f>
        <v>20.71883492469597</v>
      </c>
      <c r="C394" s="5">
        <f>C389+C194+$B$339</f>
        <v>11.652694854510809</v>
      </c>
      <c r="D394" s="5">
        <f>D389+D194+$B$339</f>
        <v>7.504140220737881</v>
      </c>
      <c r="E394" s="5">
        <f>E389+E194+$B$339</f>
        <v>11.725627221506315</v>
      </c>
      <c r="F394" s="5">
        <f>F389+F194+$B$339</f>
        <v>13.599177207332287</v>
      </c>
      <c r="G394" s="5">
        <f>G389+G194+$B$339</f>
        <v>12.699586954245106</v>
      </c>
      <c r="H394" s="5">
        <f>H389+H194+$B$339</f>
        <v>14.230412046477305</v>
      </c>
      <c r="I394" s="5">
        <f>I389+I194+$B$339</f>
        <v>18.832115378973782</v>
      </c>
      <c r="J394" s="5">
        <f>J389+J194+$B$339</f>
        <v>17.744472684441146</v>
      </c>
      <c r="K394" s="5">
        <f>K389+K194+$B$339</f>
        <v>18.546595574123707</v>
      </c>
      <c r="L394" s="5">
        <f>L389+L194+$B$339</f>
        <v>20.51311418056307</v>
      </c>
      <c r="M394" s="5">
        <f>M389+M194+$B$339</f>
        <v>19.254576130322164</v>
      </c>
      <c r="N394" s="5">
        <f>N389+N194+$B$339</f>
        <v>19.010202169728217</v>
      </c>
      <c r="O394" s="5">
        <f>O389+O194+$B$339</f>
        <v>22.925286363606833</v>
      </c>
      <c r="P394" s="5">
        <f>P389+P194+$B$339</f>
        <v>25.70067363708732</v>
      </c>
      <c r="Q394" s="5">
        <f>Q389+Q194+$B$339</f>
        <v>27.036421153506048</v>
      </c>
      <c r="R394" s="5">
        <f>R389+R194+$B$339</f>
        <v>30.135808957911074</v>
      </c>
      <c r="S394" s="5">
        <f>S389+S194+$B$339</f>
        <v>31.954455066888563</v>
      </c>
      <c r="T394" s="5">
        <f>T389+T194+$B$339</f>
        <v>30.471371819807622</v>
      </c>
      <c r="U394" s="5">
        <f>U389+U194+$B$339</f>
        <v>28.887217881791674</v>
      </c>
      <c r="V394" s="5">
        <f>V389+V194+$B$339</f>
        <v>32.94101753807902</v>
      </c>
      <c r="W394" s="5">
        <f>W389+W194+$B$339</f>
        <v>16.566043114601747</v>
      </c>
      <c r="X394" s="5">
        <f>X389+X194+$B$339</f>
        <v>20.798630860005282</v>
      </c>
      <c r="Y394" s="5">
        <f>Y389+Y194+$B$339</f>
        <v>15.695611272683694</v>
      </c>
      <c r="Z394" s="5">
        <f>Z389+Z194+$B$339</f>
        <v>10.407053674129557</v>
      </c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  <c r="CW394" s="108"/>
      <c r="CX394" s="108"/>
      <c r="CY394" s="108"/>
      <c r="CZ394" s="108"/>
      <c r="DA394" s="108"/>
      <c r="DB394" s="108"/>
      <c r="DC394" s="108"/>
      <c r="DD394" s="108"/>
      <c r="DE394" s="108"/>
      <c r="DF394" s="108"/>
      <c r="DG394" s="108"/>
      <c r="DH394" s="108"/>
      <c r="DI394" s="108"/>
      <c r="DJ394" s="108"/>
      <c r="DK394" s="108"/>
      <c r="DL394" s="108"/>
      <c r="DM394" s="108"/>
      <c r="DN394" s="108"/>
      <c r="DO394" s="108"/>
      <c r="DP394" s="108"/>
      <c r="DQ394" s="108"/>
      <c r="DR394" s="108"/>
      <c r="DS394" s="108"/>
      <c r="DT394" s="108"/>
      <c r="DU394" s="108"/>
      <c r="DV394" s="108"/>
      <c r="DW394" s="108"/>
      <c r="DX394" s="108"/>
      <c r="DY394" s="108"/>
      <c r="DZ394" s="108"/>
      <c r="EA394" s="108"/>
      <c r="EB394" s="108"/>
      <c r="EC394" s="108"/>
      <c r="ED394" s="108"/>
      <c r="EE394" s="108"/>
      <c r="EF394" s="108"/>
      <c r="EG394" s="108"/>
      <c r="EH394" s="108"/>
      <c r="EI394" s="108"/>
      <c r="EJ394" s="108"/>
      <c r="EK394" s="108"/>
      <c r="EL394" s="108"/>
      <c r="EM394" s="108"/>
      <c r="EN394" s="108"/>
      <c r="EO394" s="108"/>
      <c r="EP394" s="108"/>
      <c r="EQ394" s="108"/>
      <c r="ER394" s="108"/>
      <c r="ES394" s="108"/>
      <c r="ET394" s="108"/>
      <c r="EU394" s="108"/>
      <c r="EV394" s="108"/>
      <c r="EW394" s="108"/>
      <c r="EX394" s="108"/>
      <c r="EY394" s="108"/>
      <c r="EZ394" s="108"/>
      <c r="FA394" s="108"/>
      <c r="FB394" s="108"/>
      <c r="FC394" s="108"/>
      <c r="FD394" s="108"/>
      <c r="FE394" s="108"/>
      <c r="FF394" s="108"/>
      <c r="FG394" s="108"/>
      <c r="FH394" s="108"/>
      <c r="FI394" s="108"/>
      <c r="FJ394" s="108"/>
      <c r="FK394" s="108"/>
      <c r="FL394" s="108"/>
      <c r="FM394" s="108"/>
      <c r="FN394" s="108"/>
      <c r="FO394" s="108"/>
      <c r="FP394" s="108"/>
      <c r="FQ394" s="108"/>
      <c r="FR394" s="108"/>
      <c r="FS394" s="108"/>
      <c r="FT394" s="108"/>
      <c r="FU394" s="108"/>
      <c r="FV394" s="108"/>
      <c r="FW394" s="108"/>
      <c r="FX394" s="108"/>
      <c r="FY394" s="108"/>
      <c r="FZ394" s="108"/>
      <c r="GA394" s="108"/>
      <c r="GB394" s="108"/>
      <c r="GC394" s="108"/>
      <c r="GD394" s="108"/>
      <c r="GE394" s="108"/>
      <c r="GF394" s="108"/>
      <c r="GG394" s="108"/>
      <c r="GH394" s="108"/>
      <c r="GI394" s="108"/>
      <c r="GJ394" s="108"/>
      <c r="GK394" s="108"/>
      <c r="GL394" s="108"/>
      <c r="GM394" s="108"/>
      <c r="GN394" s="108"/>
      <c r="GO394" s="108"/>
      <c r="GP394" s="108"/>
      <c r="GQ394" s="108"/>
      <c r="GR394" s="108"/>
      <c r="GS394" s="108"/>
      <c r="GT394" s="108"/>
      <c r="GU394" s="108"/>
      <c r="GV394" s="108"/>
      <c r="GW394" s="108"/>
      <c r="GX394" s="108"/>
      <c r="GY394" s="108"/>
      <c r="GZ394" s="108"/>
      <c r="HA394" s="108"/>
      <c r="HB394" s="108"/>
      <c r="HC394" s="108"/>
      <c r="HD394" s="108"/>
      <c r="HE394" s="108"/>
      <c r="HF394" s="108"/>
      <c r="HG394" s="108"/>
      <c r="HH394" s="108"/>
      <c r="HI394" s="108"/>
      <c r="HJ394" s="108"/>
      <c r="HK394" s="108"/>
      <c r="HL394" s="108"/>
      <c r="HM394" s="108"/>
      <c r="HN394" s="108"/>
      <c r="HO394" s="108"/>
      <c r="HP394" s="108"/>
      <c r="HQ394" s="108"/>
      <c r="HR394" s="108"/>
      <c r="HS394" s="108"/>
      <c r="HT394" s="108"/>
      <c r="HU394" s="108"/>
      <c r="HV394" s="108"/>
      <c r="HW394" s="108"/>
      <c r="HX394" s="108"/>
      <c r="HY394" s="108"/>
      <c r="HZ394" s="108"/>
      <c r="IA394" s="108"/>
      <c r="IB394" s="108"/>
      <c r="IC394" s="108"/>
      <c r="ID394" s="108"/>
      <c r="IE394" s="108"/>
      <c r="IF394" s="108"/>
      <c r="IG394" s="108"/>
      <c r="IH394" s="108"/>
      <c r="II394" s="108"/>
      <c r="IJ394" s="108"/>
      <c r="IK394" s="108"/>
      <c r="IL394" s="108"/>
      <c r="IM394" s="108"/>
      <c r="IN394" s="108"/>
      <c r="IO394" s="108"/>
      <c r="IP394" s="108"/>
      <c r="IQ394" s="108"/>
      <c r="IR394" s="108"/>
      <c r="IS394" s="108"/>
      <c r="IT394" s="108"/>
      <c r="IU394" s="108"/>
      <c r="IV394" s="108"/>
    </row>
  </sheetData>
  <mergeCells count="42">
    <mergeCell ref="A1:C1"/>
    <mergeCell ref="B103:L103"/>
    <mergeCell ref="E89:F89"/>
    <mergeCell ref="B12:I12"/>
    <mergeCell ref="B23:J23"/>
    <mergeCell ref="B30:K30"/>
    <mergeCell ref="B54:J54"/>
    <mergeCell ref="B61:K61"/>
    <mergeCell ref="B80:J80"/>
    <mergeCell ref="B88:J88"/>
    <mergeCell ref="B70:J70"/>
    <mergeCell ref="C191:I191"/>
    <mergeCell ref="G113:J113"/>
    <mergeCell ref="A115:D115"/>
    <mergeCell ref="E138:K138"/>
    <mergeCell ref="D145:M145"/>
    <mergeCell ref="B122:C122"/>
    <mergeCell ref="B129:K129"/>
    <mergeCell ref="D131:K131"/>
    <mergeCell ref="A46:I46"/>
    <mergeCell ref="C260:K260"/>
    <mergeCell ref="C199:H199"/>
    <mergeCell ref="C207:H207"/>
    <mergeCell ref="C152:M152"/>
    <mergeCell ref="B189:K189"/>
    <mergeCell ref="B166:K166"/>
    <mergeCell ref="B173:K173"/>
    <mergeCell ref="C180:K180"/>
    <mergeCell ref="C159:N159"/>
    <mergeCell ref="C337:I337"/>
    <mergeCell ref="C285:J285"/>
    <mergeCell ref="C290:J290"/>
    <mergeCell ref="C295:I295"/>
    <mergeCell ref="C302:I302"/>
    <mergeCell ref="C263:K263"/>
    <mergeCell ref="C280:I280"/>
    <mergeCell ref="C215:I215"/>
    <mergeCell ref="C329:H329"/>
    <mergeCell ref="C231:I231"/>
    <mergeCell ref="C239:J239"/>
    <mergeCell ref="C247:J247"/>
    <mergeCell ref="C223:I2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5" zoomScaleNormal="25" workbookViewId="0" topLeftCell="A1">
      <selection activeCell="G58" sqref="G58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2">
      <selection activeCell="E6" sqref="E6"/>
    </sheetView>
  </sheetViews>
  <sheetFormatPr defaultColWidth="9.00390625" defaultRowHeight="12.75"/>
  <sheetData>
    <row r="1" spans="4:5" ht="12.75">
      <c r="D1" t="s">
        <v>366</v>
      </c>
      <c r="E1" t="s">
        <v>367</v>
      </c>
    </row>
    <row r="2" spans="2:5" ht="12.75">
      <c r="B2" t="s">
        <v>407</v>
      </c>
      <c r="C2" t="s">
        <v>408</v>
      </c>
      <c r="D2" t="s">
        <v>409</v>
      </c>
      <c r="E2" t="s">
        <v>410</v>
      </c>
    </row>
    <row r="3" spans="1:5" ht="12.75">
      <c r="A3" t="s">
        <v>404</v>
      </c>
      <c r="B3">
        <v>14</v>
      </c>
      <c r="C3">
        <v>36</v>
      </c>
      <c r="D3">
        <v>37</v>
      </c>
      <c r="E3">
        <v>75</v>
      </c>
    </row>
    <row r="4" spans="1:5" ht="12.75">
      <c r="A4" t="s">
        <v>405</v>
      </c>
      <c r="B4">
        <v>20</v>
      </c>
      <c r="C4">
        <v>38</v>
      </c>
      <c r="D4">
        <v>39</v>
      </c>
      <c r="E4">
        <v>77</v>
      </c>
    </row>
    <row r="5" spans="1:5" ht="12.75">
      <c r="A5" t="s">
        <v>406</v>
      </c>
      <c r="B5" t="s">
        <v>411</v>
      </c>
      <c r="C5">
        <v>42</v>
      </c>
      <c r="D5">
        <v>43</v>
      </c>
      <c r="E5">
        <v>78</v>
      </c>
    </row>
    <row r="6" spans="9:17" ht="12.75">
      <c r="I6" t="s">
        <v>379</v>
      </c>
      <c r="J6" t="s">
        <v>381</v>
      </c>
      <c r="K6" t="s">
        <v>382</v>
      </c>
      <c r="L6" t="s">
        <v>383</v>
      </c>
      <c r="M6" t="s">
        <v>384</v>
      </c>
      <c r="N6" t="s">
        <v>385</v>
      </c>
      <c r="O6" t="s">
        <v>386</v>
      </c>
      <c r="P6" t="s">
        <v>387</v>
      </c>
      <c r="Q6" t="s">
        <v>388</v>
      </c>
    </row>
    <row r="7" spans="9:17" ht="12.75">
      <c r="I7" t="s">
        <v>380</v>
      </c>
      <c r="J7" t="s">
        <v>389</v>
      </c>
      <c r="K7" t="s">
        <v>390</v>
      </c>
      <c r="L7" t="s">
        <v>391</v>
      </c>
      <c r="M7" t="s">
        <v>392</v>
      </c>
      <c r="N7" t="s">
        <v>393</v>
      </c>
      <c r="O7" t="s">
        <v>394</v>
      </c>
      <c r="P7" t="s">
        <v>395</v>
      </c>
      <c r="Q7" t="s">
        <v>396</v>
      </c>
    </row>
    <row r="9" spans="2:17" ht="12.75">
      <c r="B9" t="s">
        <v>350</v>
      </c>
      <c r="C9" t="s">
        <v>351</v>
      </c>
      <c r="D9" t="s">
        <v>352</v>
      </c>
      <c r="E9" t="s">
        <v>353</v>
      </c>
      <c r="F9" t="s">
        <v>354</v>
      </c>
      <c r="G9" t="s">
        <v>355</v>
      </c>
      <c r="H9" t="s">
        <v>356</v>
      </c>
      <c r="I9" t="s">
        <v>403</v>
      </c>
      <c r="J9" t="s">
        <v>358</v>
      </c>
      <c r="K9" t="s">
        <v>359</v>
      </c>
      <c r="L9" t="s">
        <v>360</v>
      </c>
      <c r="M9" t="s">
        <v>361</v>
      </c>
      <c r="N9" t="s">
        <v>362</v>
      </c>
      <c r="O9" t="s">
        <v>363</v>
      </c>
      <c r="P9" t="s">
        <v>364</v>
      </c>
      <c r="Q9" t="s">
        <v>365</v>
      </c>
    </row>
    <row r="10" spans="1:17" ht="12.75">
      <c r="A10" t="s">
        <v>344</v>
      </c>
      <c r="C10">
        <v>24</v>
      </c>
      <c r="D10" t="s">
        <v>373</v>
      </c>
      <c r="E10">
        <v>63</v>
      </c>
      <c r="F10">
        <v>81</v>
      </c>
      <c r="G10">
        <v>90</v>
      </c>
      <c r="I10">
        <v>90</v>
      </c>
      <c r="J10">
        <v>132</v>
      </c>
      <c r="K10">
        <v>139</v>
      </c>
      <c r="L10">
        <v>146</v>
      </c>
      <c r="M10">
        <v>153</v>
      </c>
      <c r="N10">
        <v>160</v>
      </c>
      <c r="O10">
        <v>167</v>
      </c>
      <c r="P10">
        <v>174</v>
      </c>
      <c r="Q10">
        <v>181</v>
      </c>
    </row>
    <row r="11" spans="1:17" ht="12.75">
      <c r="A11" t="s">
        <v>345</v>
      </c>
      <c r="C11">
        <v>25</v>
      </c>
      <c r="D11" t="s">
        <v>374</v>
      </c>
      <c r="E11">
        <v>65</v>
      </c>
      <c r="F11">
        <v>82</v>
      </c>
      <c r="G11">
        <v>91</v>
      </c>
      <c r="I11">
        <v>91</v>
      </c>
      <c r="J11">
        <v>133</v>
      </c>
      <c r="K11">
        <v>140</v>
      </c>
      <c r="L11">
        <v>147</v>
      </c>
      <c r="M11">
        <v>154</v>
      </c>
      <c r="N11">
        <v>161</v>
      </c>
      <c r="O11">
        <v>168</v>
      </c>
      <c r="P11">
        <v>175</v>
      </c>
      <c r="Q11">
        <v>182</v>
      </c>
    </row>
    <row r="12" spans="1:17" ht="12.75">
      <c r="A12" t="s">
        <v>346</v>
      </c>
      <c r="C12">
        <v>26</v>
      </c>
      <c r="D12" t="s">
        <v>375</v>
      </c>
      <c r="E12">
        <v>66</v>
      </c>
      <c r="F12">
        <v>83</v>
      </c>
      <c r="G12">
        <v>94</v>
      </c>
      <c r="H12">
        <v>100</v>
      </c>
      <c r="I12">
        <v>94</v>
      </c>
      <c r="J12">
        <v>134</v>
      </c>
      <c r="K12">
        <v>141</v>
      </c>
      <c r="L12">
        <v>148</v>
      </c>
      <c r="M12">
        <v>155</v>
      </c>
      <c r="N12">
        <v>162</v>
      </c>
      <c r="O12">
        <v>169</v>
      </c>
      <c r="P12">
        <v>176</v>
      </c>
      <c r="Q12">
        <v>183</v>
      </c>
    </row>
    <row r="13" spans="1:17" ht="12.75">
      <c r="A13" t="s">
        <v>347</v>
      </c>
      <c r="C13">
        <v>27</v>
      </c>
      <c r="D13" t="s">
        <v>376</v>
      </c>
      <c r="E13">
        <v>67</v>
      </c>
      <c r="F13">
        <v>84</v>
      </c>
      <c r="G13">
        <v>95</v>
      </c>
      <c r="H13">
        <v>101</v>
      </c>
      <c r="I13">
        <v>95</v>
      </c>
      <c r="J13">
        <v>135</v>
      </c>
      <c r="K13">
        <v>142</v>
      </c>
      <c r="L13">
        <v>149</v>
      </c>
      <c r="M13">
        <v>156</v>
      </c>
      <c r="N13">
        <v>163</v>
      </c>
      <c r="O13">
        <v>170</v>
      </c>
      <c r="P13">
        <v>177</v>
      </c>
      <c r="Q13">
        <v>184</v>
      </c>
    </row>
    <row r="14" spans="1:17" ht="12.75">
      <c r="A14" t="s">
        <v>348</v>
      </c>
      <c r="C14">
        <v>28</v>
      </c>
      <c r="D14" t="s">
        <v>377</v>
      </c>
      <c r="E14">
        <v>68</v>
      </c>
      <c r="F14">
        <v>85</v>
      </c>
      <c r="G14">
        <v>96</v>
      </c>
      <c r="I14">
        <v>96</v>
      </c>
      <c r="J14">
        <v>136</v>
      </c>
      <c r="K14">
        <v>143</v>
      </c>
      <c r="L14">
        <v>150</v>
      </c>
      <c r="M14">
        <v>157</v>
      </c>
      <c r="N14">
        <v>164</v>
      </c>
      <c r="O14">
        <v>171</v>
      </c>
      <c r="P14">
        <v>178</v>
      </c>
      <c r="Q14">
        <v>185</v>
      </c>
    </row>
    <row r="15" spans="1:17" ht="12.75">
      <c r="A15" t="s">
        <v>349</v>
      </c>
      <c r="C15">
        <v>29</v>
      </c>
      <c r="D15" t="s">
        <v>378</v>
      </c>
      <c r="E15">
        <v>69</v>
      </c>
      <c r="F15">
        <v>86</v>
      </c>
      <c r="G15">
        <v>97</v>
      </c>
      <c r="I15">
        <v>97</v>
      </c>
      <c r="J15">
        <v>137</v>
      </c>
      <c r="K15">
        <v>144</v>
      </c>
      <c r="L15">
        <v>151</v>
      </c>
      <c r="M15">
        <v>158</v>
      </c>
      <c r="N15">
        <v>165</v>
      </c>
      <c r="O15">
        <v>172</v>
      </c>
      <c r="P15">
        <v>179</v>
      </c>
      <c r="Q15">
        <v>186</v>
      </c>
    </row>
    <row r="18" spans="1:17" ht="12.75">
      <c r="A18" t="s">
        <v>371</v>
      </c>
      <c r="B18">
        <v>340</v>
      </c>
      <c r="C18">
        <v>332</v>
      </c>
      <c r="D18">
        <v>308</v>
      </c>
      <c r="E18">
        <v>296</v>
      </c>
      <c r="F18">
        <v>281</v>
      </c>
      <c r="G18">
        <v>291</v>
      </c>
      <c r="H18">
        <v>303</v>
      </c>
      <c r="I18">
        <v>286</v>
      </c>
      <c r="J18">
        <v>193</v>
      </c>
      <c r="K18">
        <v>201</v>
      </c>
      <c r="L18">
        <v>209</v>
      </c>
      <c r="M18">
        <v>217</v>
      </c>
      <c r="N18">
        <v>225</v>
      </c>
      <c r="O18">
        <v>233</v>
      </c>
      <c r="P18">
        <v>241</v>
      </c>
      <c r="Q18">
        <v>249</v>
      </c>
    </row>
    <row r="19" spans="1:17" ht="12.75">
      <c r="A19" t="s">
        <v>372</v>
      </c>
      <c r="B19">
        <v>341</v>
      </c>
      <c r="C19">
        <v>333</v>
      </c>
      <c r="D19">
        <v>309</v>
      </c>
      <c r="E19">
        <v>297</v>
      </c>
      <c r="F19">
        <v>282</v>
      </c>
      <c r="G19">
        <v>292</v>
      </c>
      <c r="H19">
        <v>304</v>
      </c>
      <c r="I19">
        <v>287</v>
      </c>
      <c r="J19">
        <v>194</v>
      </c>
      <c r="K19">
        <v>202</v>
      </c>
      <c r="L19">
        <v>210</v>
      </c>
      <c r="M19">
        <v>218</v>
      </c>
      <c r="N19">
        <v>226</v>
      </c>
      <c r="O19">
        <v>234</v>
      </c>
      <c r="P19">
        <v>242</v>
      </c>
      <c r="Q19">
        <v>250</v>
      </c>
    </row>
    <row r="20" spans="1:17" ht="12.75">
      <c r="A20" t="s">
        <v>357</v>
      </c>
      <c r="B20">
        <v>342</v>
      </c>
      <c r="C20" t="s">
        <v>399</v>
      </c>
      <c r="D20" t="s">
        <v>400</v>
      </c>
      <c r="E20" t="s">
        <v>401</v>
      </c>
      <c r="F20" t="s">
        <v>402</v>
      </c>
      <c r="G20">
        <v>293</v>
      </c>
      <c r="H20">
        <v>305</v>
      </c>
      <c r="J20">
        <v>195</v>
      </c>
      <c r="K20">
        <v>203</v>
      </c>
      <c r="L20">
        <v>211</v>
      </c>
      <c r="M20">
        <v>219</v>
      </c>
      <c r="N20">
        <v>227</v>
      </c>
      <c r="O20">
        <v>235</v>
      </c>
      <c r="P20">
        <v>243</v>
      </c>
      <c r="Q20">
        <v>251</v>
      </c>
    </row>
    <row r="22" spans="1:17" ht="12.75">
      <c r="A22" t="s">
        <v>368</v>
      </c>
      <c r="J22">
        <v>196</v>
      </c>
      <c r="K22">
        <v>204</v>
      </c>
      <c r="L22">
        <v>212</v>
      </c>
      <c r="M22">
        <v>220</v>
      </c>
      <c r="N22">
        <v>228</v>
      </c>
      <c r="O22">
        <v>236</v>
      </c>
      <c r="P22">
        <v>244</v>
      </c>
      <c r="Q22">
        <v>252</v>
      </c>
    </row>
    <row r="23" spans="1:17" ht="12.75">
      <c r="A23" t="s">
        <v>369</v>
      </c>
      <c r="J23">
        <v>197</v>
      </c>
      <c r="K23">
        <v>205</v>
      </c>
      <c r="L23">
        <v>213</v>
      </c>
      <c r="M23">
        <v>221</v>
      </c>
      <c r="N23">
        <v>229</v>
      </c>
      <c r="O23">
        <v>237</v>
      </c>
      <c r="P23">
        <v>245</v>
      </c>
      <c r="Q23">
        <v>253</v>
      </c>
    </row>
    <row r="24" spans="14:17" ht="12.75">
      <c r="N24" t="s">
        <v>397</v>
      </c>
      <c r="O24">
        <v>266</v>
      </c>
      <c r="P24" t="s">
        <v>398</v>
      </c>
      <c r="Q24">
        <v>267</v>
      </c>
    </row>
    <row r="25" ht="12.75">
      <c r="A25" t="s">
        <v>370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P39" sqref="P39"/>
    </sheetView>
  </sheetViews>
  <sheetFormatPr defaultColWidth="9.00390625" defaultRowHeight="12.75"/>
  <sheetData/>
  <printOptions/>
  <pageMargins left="0.3937007874015748" right="0.3937007874015748" top="0.984251968503937" bottom="0.9842519685039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Alyushin</cp:lastModifiedBy>
  <cp:lastPrinted>2005-06-07T07:13:06Z</cp:lastPrinted>
  <dcterms:created xsi:type="dcterms:W3CDTF">2005-03-10T16:50:24Z</dcterms:created>
  <dcterms:modified xsi:type="dcterms:W3CDTF">2005-09-01T16:06:25Z</dcterms:modified>
  <cp:category/>
  <cp:version/>
  <cp:contentType/>
  <cp:contentStatus/>
</cp:coreProperties>
</file>