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375" windowHeight="4065" activeTab="0"/>
  </bookViews>
  <sheets>
    <sheet name="Расчет" sheetId="1" r:id="rId1"/>
    <sheet name="Схем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<sst xmlns="http://schemas.openxmlformats.org/spreadsheetml/2006/main" count="190" uniqueCount="161">
  <si>
    <t>J1(C1)=</t>
  </si>
  <si>
    <t>M1=</t>
  </si>
  <si>
    <t>J2(C2)=</t>
  </si>
  <si>
    <t>M2=</t>
  </si>
  <si>
    <t>fI(град)=</t>
  </si>
  <si>
    <t>J3(C3)=</t>
  </si>
  <si>
    <t>M3=</t>
  </si>
  <si>
    <t>dFi=</t>
  </si>
  <si>
    <t>FiT=</t>
  </si>
  <si>
    <t>FiTT=</t>
  </si>
  <si>
    <t>L1=</t>
  </si>
  <si>
    <t>AlfaC1=</t>
  </si>
  <si>
    <t>AlfaC2=</t>
  </si>
  <si>
    <t>AlfaC3=</t>
  </si>
  <si>
    <t>L2=</t>
  </si>
  <si>
    <t>BetaC1=</t>
  </si>
  <si>
    <t>BetaC2=</t>
  </si>
  <si>
    <t>BetaC3=</t>
  </si>
  <si>
    <t>L3=</t>
  </si>
  <si>
    <t>AM=</t>
  </si>
  <si>
    <t>A=</t>
  </si>
  <si>
    <t>B=</t>
  </si>
  <si>
    <t>Fi=</t>
  </si>
  <si>
    <t>Fi(rad)=</t>
  </si>
  <si>
    <t>Fi-Fi0=</t>
  </si>
  <si>
    <t>T=</t>
  </si>
  <si>
    <t>Fi(ras)=</t>
  </si>
  <si>
    <t>X=</t>
  </si>
  <si>
    <t>Y=</t>
  </si>
  <si>
    <t>xt=</t>
  </si>
  <si>
    <t>yt=</t>
  </si>
  <si>
    <t>xtt=</t>
  </si>
  <si>
    <t>ytt=</t>
  </si>
  <si>
    <t>XC1=</t>
  </si>
  <si>
    <t>YC1=</t>
  </si>
  <si>
    <t>XtC1=</t>
  </si>
  <si>
    <t>YtC1=</t>
  </si>
  <si>
    <t>XttC1=</t>
  </si>
  <si>
    <t>YttC1=</t>
  </si>
  <si>
    <t>P=</t>
  </si>
  <si>
    <t>Q=</t>
  </si>
  <si>
    <t>F=</t>
  </si>
  <si>
    <t>Psi/2=</t>
  </si>
  <si>
    <t>Psi=</t>
  </si>
  <si>
    <t>Ksi=</t>
  </si>
  <si>
    <t>f1=</t>
  </si>
  <si>
    <t>f2=</t>
  </si>
  <si>
    <t>Psitt=</t>
  </si>
  <si>
    <t>Ksitt=</t>
  </si>
  <si>
    <t>Ekin2=</t>
  </si>
  <si>
    <t>sin(15)=</t>
  </si>
  <si>
    <t>cos(15)=</t>
  </si>
  <si>
    <t>Фамилия</t>
  </si>
  <si>
    <t>Вифлянцева М.Н.</t>
  </si>
  <si>
    <t>Группа</t>
  </si>
  <si>
    <t>ГГ-2-01</t>
  </si>
  <si>
    <t>Номер задания</t>
  </si>
  <si>
    <t>Исходные данные</t>
  </si>
  <si>
    <t>Расчёты</t>
  </si>
  <si>
    <t>Del(Fi)tt=</t>
  </si>
  <si>
    <t>Кинематические связи</t>
  </si>
  <si>
    <t>Дискр(D)=</t>
  </si>
  <si>
    <t>корень(D)=</t>
  </si>
  <si>
    <t>cos(Psi)=</t>
  </si>
  <si>
    <t>sin(Psi)=</t>
  </si>
  <si>
    <t>d(Psi)=</t>
  </si>
  <si>
    <t>cos(dPsi)=</t>
  </si>
  <si>
    <t>sin(dPsi)=</t>
  </si>
  <si>
    <t>cos(Ksi)=</t>
  </si>
  <si>
    <t>sin(Ksi)=</t>
  </si>
  <si>
    <t>d(Ksi)=</t>
  </si>
  <si>
    <t>cos(dKsi)=</t>
  </si>
  <si>
    <t>sin(dKsi)=</t>
  </si>
  <si>
    <t>Delta=</t>
  </si>
  <si>
    <t>Delta1=</t>
  </si>
  <si>
    <t>Delta2=</t>
  </si>
  <si>
    <t>DEL2=</t>
  </si>
  <si>
    <t>DEL1=</t>
  </si>
  <si>
    <t>DEL=</t>
  </si>
  <si>
    <t>МЦС:</t>
  </si>
  <si>
    <t>МЦУ:</t>
  </si>
  <si>
    <t>Центр массы С1</t>
  </si>
  <si>
    <t>Psit=</t>
  </si>
  <si>
    <t>Ksit=</t>
  </si>
  <si>
    <t>Xt=</t>
  </si>
  <si>
    <t>Yt=</t>
  </si>
  <si>
    <t>Xtt=</t>
  </si>
  <si>
    <t>Ytt=</t>
  </si>
  <si>
    <t>(Fi)tt=</t>
  </si>
  <si>
    <t>(Fi)t=</t>
  </si>
  <si>
    <t>Fit(ras)=</t>
  </si>
  <si>
    <t>Dt=</t>
  </si>
  <si>
    <t>Хa=</t>
  </si>
  <si>
    <t>Ya=</t>
  </si>
  <si>
    <t>Xa=</t>
  </si>
  <si>
    <t>точка В</t>
  </si>
  <si>
    <t>точкаА</t>
  </si>
  <si>
    <t>Центр масс С2</t>
  </si>
  <si>
    <t>XC2=</t>
  </si>
  <si>
    <t>YC2=</t>
  </si>
  <si>
    <t>XtC2=</t>
  </si>
  <si>
    <t>YtC2=</t>
  </si>
  <si>
    <t>XttC2=</t>
  </si>
  <si>
    <t>YttC2=</t>
  </si>
  <si>
    <t>XС3=</t>
  </si>
  <si>
    <t>YС3=</t>
  </si>
  <si>
    <t>XtС3=</t>
  </si>
  <si>
    <t>YtС3=</t>
  </si>
  <si>
    <t>XttС3=</t>
  </si>
  <si>
    <t>YttС3=</t>
  </si>
  <si>
    <t>Ekin3=</t>
  </si>
  <si>
    <t>Центр масс C3</t>
  </si>
  <si>
    <t>точка B</t>
  </si>
  <si>
    <t>2.Шатун АВ</t>
  </si>
  <si>
    <t>Мощность на приводном валу</t>
  </si>
  <si>
    <t>W0=</t>
  </si>
  <si>
    <t>Момент на приводном валу</t>
  </si>
  <si>
    <t>Wa=</t>
  </si>
  <si>
    <t>Mв=</t>
  </si>
  <si>
    <t>Wв=</t>
  </si>
  <si>
    <t>Ma=</t>
  </si>
  <si>
    <t>Wo=</t>
  </si>
  <si>
    <r>
      <t>A</t>
    </r>
    <r>
      <rPr>
        <sz val="10"/>
        <rFont val="Courier New CE"/>
        <family val="3"/>
      </rPr>
      <t>lfaA=</t>
    </r>
  </si>
  <si>
    <r>
      <t>A</t>
    </r>
    <r>
      <rPr>
        <sz val="10"/>
        <rFont val="Courier New CE"/>
        <family val="3"/>
      </rPr>
      <t>lfaB=</t>
    </r>
  </si>
  <si>
    <r>
      <t>A</t>
    </r>
    <r>
      <rPr>
        <sz val="10"/>
        <rFont val="Courier New CE"/>
        <family val="3"/>
      </rPr>
      <t>lfaO1=</t>
    </r>
  </si>
  <si>
    <r>
      <t>B</t>
    </r>
    <r>
      <rPr>
        <sz val="10"/>
        <rFont val="Courier New CE"/>
        <family val="3"/>
      </rPr>
      <t>etaA=</t>
    </r>
  </si>
  <si>
    <r>
      <t>B</t>
    </r>
    <r>
      <rPr>
        <sz val="10"/>
        <rFont val="Courier New CE"/>
        <family val="3"/>
      </rPr>
      <t>etaB=</t>
    </r>
  </si>
  <si>
    <r>
      <t>B</t>
    </r>
    <r>
      <rPr>
        <sz val="10"/>
        <rFont val="Courier New CE"/>
        <family val="3"/>
      </rPr>
      <t>etaO1=</t>
    </r>
  </si>
  <si>
    <t>g=</t>
  </si>
  <si>
    <t>Шарнир В</t>
  </si>
  <si>
    <t>QxA=</t>
  </si>
  <si>
    <t>QyA=</t>
  </si>
  <si>
    <t>FxC1=</t>
  </si>
  <si>
    <t>FyC1=</t>
  </si>
  <si>
    <t>M1C1=</t>
  </si>
  <si>
    <t>Wk1=</t>
  </si>
  <si>
    <t>Wn1=</t>
  </si>
  <si>
    <t>Mо=</t>
  </si>
  <si>
    <t>Qxо=</t>
  </si>
  <si>
    <t>Qyо=</t>
  </si>
  <si>
    <t>FxC2=</t>
  </si>
  <si>
    <t>FyС2=</t>
  </si>
  <si>
    <t>M2С2=</t>
  </si>
  <si>
    <t>Wk2=</t>
  </si>
  <si>
    <t>Wn2=</t>
  </si>
  <si>
    <t>проверка=</t>
  </si>
  <si>
    <t>FxС3=</t>
  </si>
  <si>
    <t>FyС3=</t>
  </si>
  <si>
    <t>M3С3=</t>
  </si>
  <si>
    <t>Wk3=</t>
  </si>
  <si>
    <t>Wn3=</t>
  </si>
  <si>
    <t>QxB=</t>
  </si>
  <si>
    <t>QyB=</t>
  </si>
  <si>
    <t>М0=</t>
  </si>
  <si>
    <t>Шарнир О</t>
  </si>
  <si>
    <t>Шарнир А</t>
  </si>
  <si>
    <t>Ekin1=</t>
  </si>
  <si>
    <t>1.Кривошип (ОА)</t>
  </si>
  <si>
    <t>3.коромысло (ВО1)</t>
  </si>
  <si>
    <t>через О1</t>
  </si>
  <si>
    <t>tg(Psi/2)=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</si>
</sst>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E+00"/>
    <numFmt numFmtId="174" formatCode="0.0"/>
    <numFmt numFmtId="175" formatCode="0.0000"/>
  </numFmts>
  <fonts count="16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 Cyr"/>
      <family val="2"/>
    </font>
    <font>
      <sz val="10"/>
      <name val="Symbol"/>
      <family val="1"/>
    </font>
    <font>
      <sz val="10"/>
      <name val="Courier New CE"/>
      <family val="3"/>
    </font>
    <font>
      <sz val="10"/>
      <color indexed="8"/>
      <name val="Arial Cyr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2"/>
    </font>
    <font>
      <sz val="10"/>
      <color indexed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i/>
      <sz val="14"/>
      <name val="Times New Roman"/>
      <family val="1"/>
    </font>
    <font>
      <i/>
      <sz val="16"/>
      <name val="Times New Roman"/>
      <family val="1"/>
    </font>
    <font>
      <sz val="19.75"/>
      <name val="Arial Cyr"/>
      <family val="0"/>
    </font>
    <font>
      <sz val="14"/>
      <color indexed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3" fillId="0" borderId="0" xfId="0" applyNumberFormat="1" applyFont="1" applyFill="1" applyAlignment="1">
      <alignment/>
    </xf>
    <xf numFmtId="172" fontId="0" fillId="0" borderId="0" xfId="0" applyNumberFormat="1" applyFill="1" applyAlignment="1">
      <alignment horizontal="left"/>
    </xf>
    <xf numFmtId="172" fontId="0" fillId="0" borderId="0" xfId="0" applyNumberFormat="1" applyFill="1" applyAlignment="1">
      <alignment/>
    </xf>
    <xf numFmtId="172" fontId="3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left"/>
    </xf>
    <xf numFmtId="172" fontId="3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left"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172" fontId="6" fillId="0" borderId="0" xfId="0" applyNumberFormat="1" applyFont="1" applyFill="1" applyBorder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172" fontId="9" fillId="0" borderId="0" xfId="0" applyNumberFormat="1" applyFont="1" applyFill="1" applyAlignment="1">
      <alignment/>
    </xf>
    <xf numFmtId="174" fontId="0" fillId="0" borderId="0" xfId="0" applyNumberFormat="1" applyFill="1" applyAlignment="1">
      <alignment horizontal="left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>
      <alignment horizontal="right"/>
    </xf>
    <xf numFmtId="0" fontId="15" fillId="0" borderId="0" xfId="0" applyFont="1" applyAlignment="1">
      <alignment/>
    </xf>
    <xf numFmtId="172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72" fontId="3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ill="1" applyAlignment="1">
      <alignment/>
    </xf>
    <xf numFmtId="172" fontId="8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Расчет!$A$55</c:f>
              <c:strCache>
                <c:ptCount val="1"/>
                <c:pt idx="0">
                  <c:v>Mо=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Расчет!$B$55:$IV$55</c:f>
              <c:numCache/>
            </c:numRef>
          </c:val>
          <c:smooth val="0"/>
        </c:ser>
        <c:ser>
          <c:idx val="1"/>
          <c:order val="1"/>
          <c:tx>
            <c:strRef>
              <c:f>Расчет!$A$175</c:f>
              <c:strCache>
                <c:ptCount val="1"/>
                <c:pt idx="0">
                  <c:v>М0=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Расчет!$B$175:$IV$175</c:f>
              <c:numCache/>
            </c:numRef>
          </c:val>
          <c:smooth val="0"/>
        </c:ser>
        <c:marker val="1"/>
        <c:axId val="23479933"/>
        <c:axId val="9992806"/>
      </c:line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92806"/>
        <c:crosses val="autoZero"/>
        <c:auto val="1"/>
        <c:lblOffset val="100"/>
        <c:noMultiLvlLbl val="0"/>
      </c:catAx>
      <c:valAx>
        <c:axId val="9992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79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171</xdr:row>
      <xdr:rowOff>28575</xdr:rowOff>
    </xdr:from>
    <xdr:to>
      <xdr:col>10</xdr:col>
      <xdr:colOff>314325</xdr:colOff>
      <xdr:row>185</xdr:row>
      <xdr:rowOff>142875</xdr:rowOff>
    </xdr:to>
    <xdr:graphicFrame>
      <xdr:nvGraphicFramePr>
        <xdr:cNvPr id="1" name="Chart 15"/>
        <xdr:cNvGraphicFramePr/>
      </xdr:nvGraphicFramePr>
      <xdr:xfrm>
        <a:off x="2828925" y="27736800"/>
        <a:ext cx="45910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18</xdr:row>
      <xdr:rowOff>152400</xdr:rowOff>
    </xdr:from>
    <xdr:to>
      <xdr:col>11</xdr:col>
      <xdr:colOff>257175</xdr:colOff>
      <xdr:row>19</xdr:row>
      <xdr:rowOff>190500</xdr:rowOff>
    </xdr:to>
    <xdr:sp>
      <xdr:nvSpPr>
        <xdr:cNvPr id="1" name="TextBox 150"/>
        <xdr:cNvSpPr txBox="1">
          <a:spLocks noChangeArrowheads="1"/>
        </xdr:cNvSpPr>
      </xdr:nvSpPr>
      <xdr:spPr>
        <a:xfrm>
          <a:off x="7181850" y="3600450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/>
            <a:t>  L3</a:t>
          </a:r>
        </a:p>
      </xdr:txBody>
    </xdr:sp>
    <xdr:clientData/>
  </xdr:twoCellAnchor>
  <xdr:twoCellAnchor>
    <xdr:from>
      <xdr:col>5</xdr:col>
      <xdr:colOff>57150</xdr:colOff>
      <xdr:row>21</xdr:row>
      <xdr:rowOff>19050</xdr:rowOff>
    </xdr:from>
    <xdr:to>
      <xdr:col>5</xdr:col>
      <xdr:colOff>676275</xdr:colOff>
      <xdr:row>22</xdr:row>
      <xdr:rowOff>57150</xdr:rowOff>
    </xdr:to>
    <xdr:sp>
      <xdr:nvSpPr>
        <xdr:cNvPr id="2" name="TextBox 149"/>
        <xdr:cNvSpPr txBox="1">
          <a:spLocks noChangeArrowheads="1"/>
        </xdr:cNvSpPr>
      </xdr:nvSpPr>
      <xdr:spPr>
        <a:xfrm>
          <a:off x="3486150" y="418147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/>
            <a:t>  L1</a:t>
          </a:r>
        </a:p>
      </xdr:txBody>
    </xdr:sp>
    <xdr:clientData/>
  </xdr:twoCellAnchor>
  <xdr:twoCellAnchor>
    <xdr:from>
      <xdr:col>10</xdr:col>
      <xdr:colOff>523875</xdr:colOff>
      <xdr:row>19</xdr:row>
      <xdr:rowOff>209550</xdr:rowOff>
    </xdr:from>
    <xdr:to>
      <xdr:col>11</xdr:col>
      <xdr:colOff>352425</xdr:colOff>
      <xdr:row>22</xdr:row>
      <xdr:rowOff>47625</xdr:rowOff>
    </xdr:to>
    <xdr:sp>
      <xdr:nvSpPr>
        <xdr:cNvPr id="3" name="TextBox 148"/>
        <xdr:cNvSpPr txBox="1">
          <a:spLocks noChangeArrowheads="1"/>
        </xdr:cNvSpPr>
      </xdr:nvSpPr>
      <xdr:spPr>
        <a:xfrm>
          <a:off x="7381875" y="3895725"/>
          <a:ext cx="5143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1" u="none" baseline="0"/>
            <a:t>ξ</a:t>
          </a:r>
        </a:p>
      </xdr:txBody>
    </xdr:sp>
    <xdr:clientData/>
  </xdr:twoCellAnchor>
  <xdr:twoCellAnchor>
    <xdr:from>
      <xdr:col>7</xdr:col>
      <xdr:colOff>180975</xdr:colOff>
      <xdr:row>18</xdr:row>
      <xdr:rowOff>142875</xdr:rowOff>
    </xdr:from>
    <xdr:to>
      <xdr:col>8</xdr:col>
      <xdr:colOff>9525</xdr:colOff>
      <xdr:row>20</xdr:row>
      <xdr:rowOff>219075</xdr:rowOff>
    </xdr:to>
    <xdr:sp>
      <xdr:nvSpPr>
        <xdr:cNvPr id="4" name="TextBox 147"/>
        <xdr:cNvSpPr txBox="1">
          <a:spLocks noChangeArrowheads="1"/>
        </xdr:cNvSpPr>
      </xdr:nvSpPr>
      <xdr:spPr>
        <a:xfrm>
          <a:off x="4981575" y="3590925"/>
          <a:ext cx="5143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1" u="none" baseline="0"/>
            <a:t>ψ</a:t>
          </a:r>
        </a:p>
      </xdr:txBody>
    </xdr:sp>
    <xdr:clientData/>
  </xdr:twoCellAnchor>
  <xdr:twoCellAnchor>
    <xdr:from>
      <xdr:col>5</xdr:col>
      <xdr:colOff>323850</xdr:colOff>
      <xdr:row>22</xdr:row>
      <xdr:rowOff>171450</xdr:rowOff>
    </xdr:from>
    <xdr:to>
      <xdr:col>6</xdr:col>
      <xdr:colOff>152400</xdr:colOff>
      <xdr:row>25</xdr:row>
      <xdr:rowOff>9525</xdr:rowOff>
    </xdr:to>
    <xdr:sp>
      <xdr:nvSpPr>
        <xdr:cNvPr id="5" name="TextBox 146"/>
        <xdr:cNvSpPr txBox="1">
          <a:spLocks noChangeArrowheads="1"/>
        </xdr:cNvSpPr>
      </xdr:nvSpPr>
      <xdr:spPr>
        <a:xfrm>
          <a:off x="3752850" y="4572000"/>
          <a:ext cx="5143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1" u="none" baseline="0"/>
            <a:t>φ</a:t>
          </a:r>
        </a:p>
      </xdr:txBody>
    </xdr:sp>
    <xdr:clientData/>
  </xdr:twoCellAnchor>
  <xdr:twoCellAnchor>
    <xdr:from>
      <xdr:col>10</xdr:col>
      <xdr:colOff>571500</xdr:colOff>
      <xdr:row>22</xdr:row>
      <xdr:rowOff>76200</xdr:rowOff>
    </xdr:from>
    <xdr:to>
      <xdr:col>12</xdr:col>
      <xdr:colOff>114300</xdr:colOff>
      <xdr:row>23</xdr:row>
      <xdr:rowOff>114300</xdr:rowOff>
    </xdr:to>
    <xdr:sp>
      <xdr:nvSpPr>
        <xdr:cNvPr id="6" name="TextBox 145"/>
        <xdr:cNvSpPr txBox="1">
          <a:spLocks noChangeArrowheads="1"/>
        </xdr:cNvSpPr>
      </xdr:nvSpPr>
      <xdr:spPr>
        <a:xfrm>
          <a:off x="7429500" y="4476750"/>
          <a:ext cx="9144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/>
            <a:t>b</a:t>
          </a:r>
        </a:p>
      </xdr:txBody>
    </xdr:sp>
    <xdr:clientData/>
  </xdr:twoCellAnchor>
  <xdr:twoCellAnchor>
    <xdr:from>
      <xdr:col>8</xdr:col>
      <xdr:colOff>9525</xdr:colOff>
      <xdr:row>17</xdr:row>
      <xdr:rowOff>180975</xdr:rowOff>
    </xdr:from>
    <xdr:to>
      <xdr:col>8</xdr:col>
      <xdr:colOff>628650</xdr:colOff>
      <xdr:row>18</xdr:row>
      <xdr:rowOff>123825</xdr:rowOff>
    </xdr:to>
    <xdr:sp>
      <xdr:nvSpPr>
        <xdr:cNvPr id="7" name="Rectangle 144"/>
        <xdr:cNvSpPr>
          <a:spLocks/>
        </xdr:cNvSpPr>
      </xdr:nvSpPr>
      <xdr:spPr>
        <a:xfrm rot="20699348">
          <a:off x="5495925" y="3390900"/>
          <a:ext cx="619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20</xdr:row>
      <xdr:rowOff>219075</xdr:rowOff>
    </xdr:from>
    <xdr:to>
      <xdr:col>11</xdr:col>
      <xdr:colOff>257175</xdr:colOff>
      <xdr:row>22</xdr:row>
      <xdr:rowOff>19050</xdr:rowOff>
    </xdr:to>
    <xdr:sp>
      <xdr:nvSpPr>
        <xdr:cNvPr id="8" name="TextBox 143"/>
        <xdr:cNvSpPr txBox="1">
          <a:spLocks noChangeArrowheads="1"/>
        </xdr:cNvSpPr>
      </xdr:nvSpPr>
      <xdr:spPr>
        <a:xfrm>
          <a:off x="6572250" y="4143375"/>
          <a:ext cx="1228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/>
            <a:t>   O1</a:t>
          </a:r>
        </a:p>
      </xdr:txBody>
    </xdr:sp>
    <xdr:clientData/>
  </xdr:twoCellAnchor>
  <xdr:twoCellAnchor>
    <xdr:from>
      <xdr:col>10</xdr:col>
      <xdr:colOff>276225</xdr:colOff>
      <xdr:row>15</xdr:row>
      <xdr:rowOff>57150</xdr:rowOff>
    </xdr:from>
    <xdr:to>
      <xdr:col>12</xdr:col>
      <xdr:colOff>142875</xdr:colOff>
      <xdr:row>16</xdr:row>
      <xdr:rowOff>95250</xdr:rowOff>
    </xdr:to>
    <xdr:sp>
      <xdr:nvSpPr>
        <xdr:cNvPr id="9" name="TextBox 142"/>
        <xdr:cNvSpPr txBox="1">
          <a:spLocks noChangeArrowheads="1"/>
        </xdr:cNvSpPr>
      </xdr:nvSpPr>
      <xdr:spPr>
        <a:xfrm>
          <a:off x="7134225" y="2790825"/>
          <a:ext cx="12382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/>
            <a:t>   B</a:t>
          </a:r>
        </a:p>
      </xdr:txBody>
    </xdr:sp>
    <xdr:clientData/>
  </xdr:twoCellAnchor>
  <xdr:twoCellAnchor>
    <xdr:from>
      <xdr:col>5</xdr:col>
      <xdr:colOff>371475</xdr:colOff>
      <xdr:row>18</xdr:row>
      <xdr:rowOff>228600</xdr:rowOff>
    </xdr:from>
    <xdr:to>
      <xdr:col>7</xdr:col>
      <xdr:colOff>238125</xdr:colOff>
      <xdr:row>20</xdr:row>
      <xdr:rowOff>28575</xdr:rowOff>
    </xdr:to>
    <xdr:sp>
      <xdr:nvSpPr>
        <xdr:cNvPr id="10" name="TextBox 141"/>
        <xdr:cNvSpPr txBox="1">
          <a:spLocks noChangeArrowheads="1"/>
        </xdr:cNvSpPr>
      </xdr:nvSpPr>
      <xdr:spPr>
        <a:xfrm>
          <a:off x="3800475" y="3676650"/>
          <a:ext cx="12382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/>
            <a:t>   A</a:t>
          </a:r>
        </a:p>
      </xdr:txBody>
    </xdr:sp>
    <xdr:clientData/>
  </xdr:twoCellAnchor>
  <xdr:twoCellAnchor>
    <xdr:from>
      <xdr:col>4</xdr:col>
      <xdr:colOff>304800</xdr:colOff>
      <xdr:row>23</xdr:row>
      <xdr:rowOff>123825</xdr:rowOff>
    </xdr:from>
    <xdr:to>
      <xdr:col>5</xdr:col>
      <xdr:colOff>114300</xdr:colOff>
      <xdr:row>24</xdr:row>
      <xdr:rowOff>161925</xdr:rowOff>
    </xdr:to>
    <xdr:sp>
      <xdr:nvSpPr>
        <xdr:cNvPr id="11" name="TextBox 140"/>
        <xdr:cNvSpPr txBox="1">
          <a:spLocks noChangeArrowheads="1"/>
        </xdr:cNvSpPr>
      </xdr:nvSpPr>
      <xdr:spPr>
        <a:xfrm>
          <a:off x="3048000" y="4762500"/>
          <a:ext cx="495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/>
            <a:t>   O</a:t>
          </a:r>
        </a:p>
      </xdr:txBody>
    </xdr:sp>
    <xdr:clientData/>
  </xdr:twoCellAnchor>
  <xdr:twoCellAnchor>
    <xdr:from>
      <xdr:col>7</xdr:col>
      <xdr:colOff>247650</xdr:colOff>
      <xdr:row>24</xdr:row>
      <xdr:rowOff>152400</xdr:rowOff>
    </xdr:from>
    <xdr:to>
      <xdr:col>9</xdr:col>
      <xdr:colOff>104775</xdr:colOff>
      <xdr:row>25</xdr:row>
      <xdr:rowOff>190500</xdr:rowOff>
    </xdr:to>
    <xdr:sp>
      <xdr:nvSpPr>
        <xdr:cNvPr id="12" name="TextBox 139"/>
        <xdr:cNvSpPr txBox="1">
          <a:spLocks noChangeArrowheads="1"/>
        </xdr:cNvSpPr>
      </xdr:nvSpPr>
      <xdr:spPr>
        <a:xfrm>
          <a:off x="5048250" y="5029200"/>
          <a:ext cx="1228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/>
            <a:t>   a</a:t>
          </a:r>
        </a:p>
      </xdr:txBody>
    </xdr:sp>
    <xdr:clientData/>
  </xdr:twoCellAnchor>
  <xdr:twoCellAnchor>
    <xdr:from>
      <xdr:col>10</xdr:col>
      <xdr:colOff>238125</xdr:colOff>
      <xdr:row>21</xdr:row>
      <xdr:rowOff>95250</xdr:rowOff>
    </xdr:from>
    <xdr:to>
      <xdr:col>10</xdr:col>
      <xdr:colOff>342900</xdr:colOff>
      <xdr:row>21</xdr:row>
      <xdr:rowOff>190500</xdr:rowOff>
    </xdr:to>
    <xdr:sp>
      <xdr:nvSpPr>
        <xdr:cNvPr id="13" name="Oval 138"/>
        <xdr:cNvSpPr>
          <a:spLocks/>
        </xdr:cNvSpPr>
      </xdr:nvSpPr>
      <xdr:spPr>
        <a:xfrm>
          <a:off x="7096125" y="4257675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523875</xdr:colOff>
      <xdr:row>11</xdr:row>
      <xdr:rowOff>9525</xdr:rowOff>
    </xdr:from>
    <xdr:to>
      <xdr:col>5</xdr:col>
      <xdr:colOff>152400</xdr:colOff>
      <xdr:row>12</xdr:row>
      <xdr:rowOff>133350</xdr:rowOff>
    </xdr:to>
    <xdr:sp>
      <xdr:nvSpPr>
        <xdr:cNvPr id="14" name="TextBox 137"/>
        <xdr:cNvSpPr txBox="1">
          <a:spLocks noChangeArrowheads="1"/>
        </xdr:cNvSpPr>
      </xdr:nvSpPr>
      <xdr:spPr>
        <a:xfrm>
          <a:off x="3267075" y="1790700"/>
          <a:ext cx="3143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/>
            <a:t>y</a:t>
          </a:r>
        </a:p>
      </xdr:txBody>
    </xdr:sp>
    <xdr:clientData/>
  </xdr:twoCellAnchor>
  <xdr:twoCellAnchor>
    <xdr:from>
      <xdr:col>10</xdr:col>
      <xdr:colOff>628650</xdr:colOff>
      <xdr:row>16</xdr:row>
      <xdr:rowOff>57150</xdr:rowOff>
    </xdr:from>
    <xdr:to>
      <xdr:col>11</xdr:col>
      <xdr:colOff>57150</xdr:colOff>
      <xdr:row>16</xdr:row>
      <xdr:rowOff>152400</xdr:rowOff>
    </xdr:to>
    <xdr:sp>
      <xdr:nvSpPr>
        <xdr:cNvPr id="15" name="Oval 136"/>
        <xdr:cNvSpPr>
          <a:spLocks/>
        </xdr:cNvSpPr>
      </xdr:nvSpPr>
      <xdr:spPr>
        <a:xfrm>
          <a:off x="7486650" y="3028950"/>
          <a:ext cx="1143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24</xdr:row>
      <xdr:rowOff>0</xdr:rowOff>
    </xdr:from>
    <xdr:to>
      <xdr:col>5</xdr:col>
      <xdr:colOff>180975</xdr:colOff>
      <xdr:row>24</xdr:row>
      <xdr:rowOff>95250</xdr:rowOff>
    </xdr:to>
    <xdr:sp>
      <xdr:nvSpPr>
        <xdr:cNvPr id="16" name="Oval 135"/>
        <xdr:cNvSpPr>
          <a:spLocks/>
        </xdr:cNvSpPr>
      </xdr:nvSpPr>
      <xdr:spPr>
        <a:xfrm>
          <a:off x="3505200" y="487680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11</xdr:row>
      <xdr:rowOff>95250</xdr:rowOff>
    </xdr:from>
    <xdr:to>
      <xdr:col>5</xdr:col>
      <xdr:colOff>114300</xdr:colOff>
      <xdr:row>24</xdr:row>
      <xdr:rowOff>114300</xdr:rowOff>
    </xdr:to>
    <xdr:sp>
      <xdr:nvSpPr>
        <xdr:cNvPr id="17" name="Line 134"/>
        <xdr:cNvSpPr>
          <a:spLocks/>
        </xdr:cNvSpPr>
      </xdr:nvSpPr>
      <xdr:spPr>
        <a:xfrm>
          <a:off x="3543300" y="1876425"/>
          <a:ext cx="0" cy="3114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24</xdr:row>
      <xdr:rowOff>57150</xdr:rowOff>
    </xdr:from>
    <xdr:to>
      <xdr:col>12</xdr:col>
      <xdr:colOff>352425</xdr:colOff>
      <xdr:row>24</xdr:row>
      <xdr:rowOff>57150</xdr:rowOff>
    </xdr:to>
    <xdr:sp>
      <xdr:nvSpPr>
        <xdr:cNvPr id="18" name="Line 133"/>
        <xdr:cNvSpPr>
          <a:spLocks/>
        </xdr:cNvSpPr>
      </xdr:nvSpPr>
      <xdr:spPr>
        <a:xfrm>
          <a:off x="3543300" y="4933950"/>
          <a:ext cx="503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114300</xdr:colOff>
      <xdr:row>19</xdr:row>
      <xdr:rowOff>123825</xdr:rowOff>
    </xdr:from>
    <xdr:to>
      <xdr:col>6</xdr:col>
      <xdr:colOff>228600</xdr:colOff>
      <xdr:row>19</xdr:row>
      <xdr:rowOff>219075</xdr:rowOff>
    </xdr:to>
    <xdr:sp>
      <xdr:nvSpPr>
        <xdr:cNvPr id="19" name="Oval 132"/>
        <xdr:cNvSpPr>
          <a:spLocks/>
        </xdr:cNvSpPr>
      </xdr:nvSpPr>
      <xdr:spPr>
        <a:xfrm>
          <a:off x="4229100" y="381000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19</xdr:row>
      <xdr:rowOff>171450</xdr:rowOff>
    </xdr:from>
    <xdr:to>
      <xdr:col>6</xdr:col>
      <xdr:colOff>152400</xdr:colOff>
      <xdr:row>24</xdr:row>
      <xdr:rowOff>76200</xdr:rowOff>
    </xdr:to>
    <xdr:sp>
      <xdr:nvSpPr>
        <xdr:cNvPr id="20" name="Line 131"/>
        <xdr:cNvSpPr>
          <a:spLocks/>
        </xdr:cNvSpPr>
      </xdr:nvSpPr>
      <xdr:spPr>
        <a:xfrm flipV="1">
          <a:off x="3543300" y="3857625"/>
          <a:ext cx="723900" cy="10953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152400</xdr:colOff>
      <xdr:row>16</xdr:row>
      <xdr:rowOff>76200</xdr:rowOff>
    </xdr:from>
    <xdr:to>
      <xdr:col>11</xdr:col>
      <xdr:colOff>9525</xdr:colOff>
      <xdr:row>19</xdr:row>
      <xdr:rowOff>190500</xdr:rowOff>
    </xdr:to>
    <xdr:sp>
      <xdr:nvSpPr>
        <xdr:cNvPr id="21" name="Line 130"/>
        <xdr:cNvSpPr>
          <a:spLocks/>
        </xdr:cNvSpPr>
      </xdr:nvSpPr>
      <xdr:spPr>
        <a:xfrm flipV="1">
          <a:off x="4267200" y="3048000"/>
          <a:ext cx="3286125" cy="828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16</xdr:row>
      <xdr:rowOff>76200</xdr:rowOff>
    </xdr:from>
    <xdr:to>
      <xdr:col>11</xdr:col>
      <xdr:colOff>9525</xdr:colOff>
      <xdr:row>21</xdr:row>
      <xdr:rowOff>171450</xdr:rowOff>
    </xdr:to>
    <xdr:sp>
      <xdr:nvSpPr>
        <xdr:cNvPr id="22" name="Line 129"/>
        <xdr:cNvSpPr>
          <a:spLocks/>
        </xdr:cNvSpPr>
      </xdr:nvSpPr>
      <xdr:spPr>
        <a:xfrm flipH="1">
          <a:off x="7143750" y="3048000"/>
          <a:ext cx="409575" cy="1285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333375</xdr:colOff>
      <xdr:row>23</xdr:row>
      <xdr:rowOff>114300</xdr:rowOff>
    </xdr:from>
    <xdr:to>
      <xdr:col>13</xdr:col>
      <xdr:colOff>361950</xdr:colOff>
      <xdr:row>25</xdr:row>
      <xdr:rowOff>0</xdr:rowOff>
    </xdr:to>
    <xdr:sp>
      <xdr:nvSpPr>
        <xdr:cNvPr id="23" name="TextBox 128"/>
        <xdr:cNvSpPr txBox="1">
          <a:spLocks noChangeArrowheads="1"/>
        </xdr:cNvSpPr>
      </xdr:nvSpPr>
      <xdr:spPr>
        <a:xfrm>
          <a:off x="8562975" y="4752975"/>
          <a:ext cx="714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/>
            <a:t>x</a:t>
          </a:r>
        </a:p>
      </xdr:txBody>
    </xdr:sp>
    <xdr:clientData/>
  </xdr:twoCellAnchor>
  <xdr:twoCellAnchor>
    <xdr:from>
      <xdr:col>5</xdr:col>
      <xdr:colOff>9525</xdr:colOff>
      <xdr:row>24</xdr:row>
      <xdr:rowOff>85725</xdr:rowOff>
    </xdr:from>
    <xdr:to>
      <xdr:col>5</xdr:col>
      <xdr:colOff>95250</xdr:colOff>
      <xdr:row>25</xdr:row>
      <xdr:rowOff>0</xdr:rowOff>
    </xdr:to>
    <xdr:sp>
      <xdr:nvSpPr>
        <xdr:cNvPr id="24" name="Line 127"/>
        <xdr:cNvSpPr>
          <a:spLocks/>
        </xdr:cNvSpPr>
      </xdr:nvSpPr>
      <xdr:spPr>
        <a:xfrm flipH="1">
          <a:off x="3438525" y="4962525"/>
          <a:ext cx="857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</xdr:colOff>
      <xdr:row>24</xdr:row>
      <xdr:rowOff>95250</xdr:rowOff>
    </xdr:from>
    <xdr:to>
      <xdr:col>5</xdr:col>
      <xdr:colOff>228600</xdr:colOff>
      <xdr:row>24</xdr:row>
      <xdr:rowOff>228600</xdr:rowOff>
    </xdr:to>
    <xdr:sp>
      <xdr:nvSpPr>
        <xdr:cNvPr id="25" name="Line 126"/>
        <xdr:cNvSpPr>
          <a:spLocks/>
        </xdr:cNvSpPr>
      </xdr:nvSpPr>
      <xdr:spPr>
        <a:xfrm>
          <a:off x="3581400" y="4972050"/>
          <a:ext cx="762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657225</xdr:colOff>
      <xdr:row>24</xdr:row>
      <xdr:rowOff>228600</xdr:rowOff>
    </xdr:from>
    <xdr:to>
      <xdr:col>5</xdr:col>
      <xdr:colOff>276225</xdr:colOff>
      <xdr:row>24</xdr:row>
      <xdr:rowOff>228600</xdr:rowOff>
    </xdr:to>
    <xdr:sp>
      <xdr:nvSpPr>
        <xdr:cNvPr id="26" name="Line 125"/>
        <xdr:cNvSpPr>
          <a:spLocks/>
        </xdr:cNvSpPr>
      </xdr:nvSpPr>
      <xdr:spPr>
        <a:xfrm>
          <a:off x="3400425" y="51054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24</xdr:row>
      <xdr:rowOff>228600</xdr:rowOff>
    </xdr:from>
    <xdr:to>
      <xdr:col>5</xdr:col>
      <xdr:colOff>9525</xdr:colOff>
      <xdr:row>25</xdr:row>
      <xdr:rowOff>85725</xdr:rowOff>
    </xdr:to>
    <xdr:sp>
      <xdr:nvSpPr>
        <xdr:cNvPr id="27" name="Line 124"/>
        <xdr:cNvSpPr>
          <a:spLocks/>
        </xdr:cNvSpPr>
      </xdr:nvSpPr>
      <xdr:spPr>
        <a:xfrm flipH="1">
          <a:off x="3343275" y="5105400"/>
          <a:ext cx="95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228600</xdr:rowOff>
    </xdr:from>
    <xdr:to>
      <xdr:col>5</xdr:col>
      <xdr:colOff>114300</xdr:colOff>
      <xdr:row>25</xdr:row>
      <xdr:rowOff>85725</xdr:rowOff>
    </xdr:to>
    <xdr:sp>
      <xdr:nvSpPr>
        <xdr:cNvPr id="28" name="Line 123"/>
        <xdr:cNvSpPr>
          <a:spLocks/>
        </xdr:cNvSpPr>
      </xdr:nvSpPr>
      <xdr:spPr>
        <a:xfrm flipV="1">
          <a:off x="3438525" y="5105400"/>
          <a:ext cx="1047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24</xdr:row>
      <xdr:rowOff>228600</xdr:rowOff>
    </xdr:from>
    <xdr:to>
      <xdr:col>5</xdr:col>
      <xdr:colOff>228600</xdr:colOff>
      <xdr:row>25</xdr:row>
      <xdr:rowOff>85725</xdr:rowOff>
    </xdr:to>
    <xdr:sp>
      <xdr:nvSpPr>
        <xdr:cNvPr id="29" name="Line 122"/>
        <xdr:cNvSpPr>
          <a:spLocks/>
        </xdr:cNvSpPr>
      </xdr:nvSpPr>
      <xdr:spPr>
        <a:xfrm flipH="1">
          <a:off x="3543300" y="5105400"/>
          <a:ext cx="1047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24</xdr:row>
      <xdr:rowOff>228600</xdr:rowOff>
    </xdr:from>
    <xdr:to>
      <xdr:col>5</xdr:col>
      <xdr:colOff>228600</xdr:colOff>
      <xdr:row>25</xdr:row>
      <xdr:rowOff>85725</xdr:rowOff>
    </xdr:to>
    <xdr:sp>
      <xdr:nvSpPr>
        <xdr:cNvPr id="30" name="Line 121"/>
        <xdr:cNvSpPr>
          <a:spLocks/>
        </xdr:cNvSpPr>
      </xdr:nvSpPr>
      <xdr:spPr>
        <a:xfrm flipH="1">
          <a:off x="3543300" y="5105400"/>
          <a:ext cx="1047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21</xdr:row>
      <xdr:rowOff>190500</xdr:rowOff>
    </xdr:from>
    <xdr:to>
      <xdr:col>10</xdr:col>
      <xdr:colOff>257175</xdr:colOff>
      <xdr:row>22</xdr:row>
      <xdr:rowOff>85725</xdr:rowOff>
    </xdr:to>
    <xdr:sp>
      <xdr:nvSpPr>
        <xdr:cNvPr id="31" name="Line 120"/>
        <xdr:cNvSpPr>
          <a:spLocks/>
        </xdr:cNvSpPr>
      </xdr:nvSpPr>
      <xdr:spPr>
        <a:xfrm flipH="1">
          <a:off x="7038975" y="4352925"/>
          <a:ext cx="762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323850</xdr:colOff>
      <xdr:row>21</xdr:row>
      <xdr:rowOff>180975</xdr:rowOff>
    </xdr:from>
    <xdr:to>
      <xdr:col>10</xdr:col>
      <xdr:colOff>400050</xdr:colOff>
      <xdr:row>22</xdr:row>
      <xdr:rowOff>85725</xdr:rowOff>
    </xdr:to>
    <xdr:sp>
      <xdr:nvSpPr>
        <xdr:cNvPr id="32" name="Line 119"/>
        <xdr:cNvSpPr>
          <a:spLocks/>
        </xdr:cNvSpPr>
      </xdr:nvSpPr>
      <xdr:spPr>
        <a:xfrm>
          <a:off x="7181850" y="4343400"/>
          <a:ext cx="762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76200</xdr:rowOff>
    </xdr:from>
    <xdr:to>
      <xdr:col>10</xdr:col>
      <xdr:colOff>447675</xdr:colOff>
      <xdr:row>22</xdr:row>
      <xdr:rowOff>76200</xdr:rowOff>
    </xdr:to>
    <xdr:sp>
      <xdr:nvSpPr>
        <xdr:cNvPr id="33" name="Line 118"/>
        <xdr:cNvSpPr>
          <a:spLocks/>
        </xdr:cNvSpPr>
      </xdr:nvSpPr>
      <xdr:spPr>
        <a:xfrm>
          <a:off x="7000875" y="447675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85725</xdr:colOff>
      <xdr:row>22</xdr:row>
      <xdr:rowOff>76200</xdr:rowOff>
    </xdr:from>
    <xdr:to>
      <xdr:col>10</xdr:col>
      <xdr:colOff>180975</xdr:colOff>
      <xdr:row>22</xdr:row>
      <xdr:rowOff>171450</xdr:rowOff>
    </xdr:to>
    <xdr:sp>
      <xdr:nvSpPr>
        <xdr:cNvPr id="34" name="Line 117"/>
        <xdr:cNvSpPr>
          <a:spLocks/>
        </xdr:cNvSpPr>
      </xdr:nvSpPr>
      <xdr:spPr>
        <a:xfrm flipH="1">
          <a:off x="6943725" y="4476750"/>
          <a:ext cx="952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22</xdr:row>
      <xdr:rowOff>76200</xdr:rowOff>
    </xdr:from>
    <xdr:to>
      <xdr:col>10</xdr:col>
      <xdr:colOff>285750</xdr:colOff>
      <xdr:row>22</xdr:row>
      <xdr:rowOff>171450</xdr:rowOff>
    </xdr:to>
    <xdr:sp>
      <xdr:nvSpPr>
        <xdr:cNvPr id="35" name="Line 116"/>
        <xdr:cNvSpPr>
          <a:spLocks/>
        </xdr:cNvSpPr>
      </xdr:nvSpPr>
      <xdr:spPr>
        <a:xfrm flipH="1">
          <a:off x="7038975" y="4476750"/>
          <a:ext cx="1047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22</xdr:row>
      <xdr:rowOff>76200</xdr:rowOff>
    </xdr:from>
    <xdr:to>
      <xdr:col>10</xdr:col>
      <xdr:colOff>400050</xdr:colOff>
      <xdr:row>22</xdr:row>
      <xdr:rowOff>171450</xdr:rowOff>
    </xdr:to>
    <xdr:sp>
      <xdr:nvSpPr>
        <xdr:cNvPr id="36" name="Line 115"/>
        <xdr:cNvSpPr>
          <a:spLocks/>
        </xdr:cNvSpPr>
      </xdr:nvSpPr>
      <xdr:spPr>
        <a:xfrm flipH="1">
          <a:off x="7143750" y="4476750"/>
          <a:ext cx="1047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24</xdr:row>
      <xdr:rowOff>57150</xdr:rowOff>
    </xdr:from>
    <xdr:to>
      <xdr:col>5</xdr:col>
      <xdr:colOff>114300</xdr:colOff>
      <xdr:row>26</xdr:row>
      <xdr:rowOff>38100</xdr:rowOff>
    </xdr:to>
    <xdr:sp>
      <xdr:nvSpPr>
        <xdr:cNvPr id="37" name="Line 114"/>
        <xdr:cNvSpPr>
          <a:spLocks/>
        </xdr:cNvSpPr>
      </xdr:nvSpPr>
      <xdr:spPr>
        <a:xfrm>
          <a:off x="3543300" y="493395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21</xdr:row>
      <xdr:rowOff>142875</xdr:rowOff>
    </xdr:from>
    <xdr:to>
      <xdr:col>10</xdr:col>
      <xdr:colOff>285750</xdr:colOff>
      <xdr:row>26</xdr:row>
      <xdr:rowOff>47625</xdr:rowOff>
    </xdr:to>
    <xdr:sp>
      <xdr:nvSpPr>
        <xdr:cNvPr id="38" name="Line 113"/>
        <xdr:cNvSpPr>
          <a:spLocks/>
        </xdr:cNvSpPr>
      </xdr:nvSpPr>
      <xdr:spPr>
        <a:xfrm>
          <a:off x="7143750" y="4305300"/>
          <a:ext cx="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25</xdr:row>
      <xdr:rowOff>171450</xdr:rowOff>
    </xdr:from>
    <xdr:to>
      <xdr:col>10</xdr:col>
      <xdr:colOff>285750</xdr:colOff>
      <xdr:row>25</xdr:row>
      <xdr:rowOff>171450</xdr:rowOff>
    </xdr:to>
    <xdr:sp>
      <xdr:nvSpPr>
        <xdr:cNvPr id="39" name="Line 112"/>
        <xdr:cNvSpPr>
          <a:spLocks/>
        </xdr:cNvSpPr>
      </xdr:nvSpPr>
      <xdr:spPr>
        <a:xfrm>
          <a:off x="3543300" y="5286375"/>
          <a:ext cx="360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276225</xdr:colOff>
      <xdr:row>17</xdr:row>
      <xdr:rowOff>219075</xdr:rowOff>
    </xdr:from>
    <xdr:to>
      <xdr:col>8</xdr:col>
      <xdr:colOff>390525</xdr:colOff>
      <xdr:row>18</xdr:row>
      <xdr:rowOff>76200</xdr:rowOff>
    </xdr:to>
    <xdr:sp>
      <xdr:nvSpPr>
        <xdr:cNvPr id="40" name="Oval 111"/>
        <xdr:cNvSpPr>
          <a:spLocks/>
        </xdr:cNvSpPr>
      </xdr:nvSpPr>
      <xdr:spPr>
        <a:xfrm>
          <a:off x="5762625" y="342900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609600</xdr:colOff>
      <xdr:row>12</xdr:row>
      <xdr:rowOff>123825</xdr:rowOff>
    </xdr:from>
    <xdr:to>
      <xdr:col>8</xdr:col>
      <xdr:colOff>333375</xdr:colOff>
      <xdr:row>18</xdr:row>
      <xdr:rowOff>66675</xdr:rowOff>
    </xdr:to>
    <xdr:sp>
      <xdr:nvSpPr>
        <xdr:cNvPr id="41" name="Line 110"/>
        <xdr:cNvSpPr>
          <a:spLocks/>
        </xdr:cNvSpPr>
      </xdr:nvSpPr>
      <xdr:spPr>
        <a:xfrm flipH="1" flipV="1">
          <a:off x="5410200" y="2143125"/>
          <a:ext cx="4095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561975</xdr:colOff>
      <xdr:row>12</xdr:row>
      <xdr:rowOff>190500</xdr:rowOff>
    </xdr:from>
    <xdr:to>
      <xdr:col>7</xdr:col>
      <xdr:colOff>666750</xdr:colOff>
      <xdr:row>15</xdr:row>
      <xdr:rowOff>114300</xdr:rowOff>
    </xdr:to>
    <xdr:sp>
      <xdr:nvSpPr>
        <xdr:cNvPr id="42" name="Rectangle 109"/>
        <xdr:cNvSpPr>
          <a:spLocks/>
        </xdr:cNvSpPr>
      </xdr:nvSpPr>
      <xdr:spPr>
        <a:xfrm rot="4464559">
          <a:off x="5362575" y="2209800"/>
          <a:ext cx="1047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12</xdr:row>
      <xdr:rowOff>133350</xdr:rowOff>
    </xdr:from>
    <xdr:to>
      <xdr:col>8</xdr:col>
      <xdr:colOff>200025</xdr:colOff>
      <xdr:row>15</xdr:row>
      <xdr:rowOff>57150</xdr:rowOff>
    </xdr:to>
    <xdr:sp>
      <xdr:nvSpPr>
        <xdr:cNvPr id="43" name="Rectangle 108"/>
        <xdr:cNvSpPr>
          <a:spLocks/>
        </xdr:cNvSpPr>
      </xdr:nvSpPr>
      <xdr:spPr>
        <a:xfrm rot="4464559">
          <a:off x="5581650" y="2152650"/>
          <a:ext cx="1047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21</xdr:row>
      <xdr:rowOff>142875</xdr:rowOff>
    </xdr:from>
    <xdr:to>
      <xdr:col>11</xdr:col>
      <xdr:colOff>114300</xdr:colOff>
      <xdr:row>21</xdr:row>
      <xdr:rowOff>142875</xdr:rowOff>
    </xdr:to>
    <xdr:sp>
      <xdr:nvSpPr>
        <xdr:cNvPr id="44" name="Line 107"/>
        <xdr:cNvSpPr>
          <a:spLocks/>
        </xdr:cNvSpPr>
      </xdr:nvSpPr>
      <xdr:spPr>
        <a:xfrm>
          <a:off x="7143750" y="430530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600075</xdr:colOff>
      <xdr:row>21</xdr:row>
      <xdr:rowOff>142875</xdr:rowOff>
    </xdr:from>
    <xdr:to>
      <xdr:col>10</xdr:col>
      <xdr:colOff>600075</xdr:colOff>
      <xdr:row>24</xdr:row>
      <xdr:rowOff>66675</xdr:rowOff>
    </xdr:to>
    <xdr:sp>
      <xdr:nvSpPr>
        <xdr:cNvPr id="45" name="Line 106"/>
        <xdr:cNvSpPr>
          <a:spLocks/>
        </xdr:cNvSpPr>
      </xdr:nvSpPr>
      <xdr:spPr>
        <a:xfrm>
          <a:off x="7458075" y="4305300"/>
          <a:ext cx="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247650</xdr:colOff>
      <xdr:row>23</xdr:row>
      <xdr:rowOff>114300</xdr:rowOff>
    </xdr:from>
    <xdr:to>
      <xdr:col>5</xdr:col>
      <xdr:colOff>447675</xdr:colOff>
      <xdr:row>24</xdr:row>
      <xdr:rowOff>57150</xdr:rowOff>
    </xdr:to>
    <xdr:sp>
      <xdr:nvSpPr>
        <xdr:cNvPr id="46" name="Arc 105"/>
        <xdr:cNvSpPr>
          <a:spLocks/>
        </xdr:cNvSpPr>
      </xdr:nvSpPr>
      <xdr:spPr>
        <a:xfrm>
          <a:off x="3676650" y="4752975"/>
          <a:ext cx="200025" cy="180975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152400</xdr:colOff>
      <xdr:row>19</xdr:row>
      <xdr:rowOff>171450</xdr:rowOff>
    </xdr:from>
    <xdr:to>
      <xdr:col>7</xdr:col>
      <xdr:colOff>285750</xdr:colOff>
      <xdr:row>19</xdr:row>
      <xdr:rowOff>171450</xdr:rowOff>
    </xdr:to>
    <xdr:sp>
      <xdr:nvSpPr>
        <xdr:cNvPr id="47" name="Line 104"/>
        <xdr:cNvSpPr>
          <a:spLocks/>
        </xdr:cNvSpPr>
      </xdr:nvSpPr>
      <xdr:spPr>
        <a:xfrm>
          <a:off x="4267200" y="38576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19</xdr:row>
      <xdr:rowOff>47625</xdr:rowOff>
    </xdr:from>
    <xdr:to>
      <xdr:col>7</xdr:col>
      <xdr:colOff>57150</xdr:colOff>
      <xdr:row>19</xdr:row>
      <xdr:rowOff>180975</xdr:rowOff>
    </xdr:to>
    <xdr:sp>
      <xdr:nvSpPr>
        <xdr:cNvPr id="48" name="Arc 103"/>
        <xdr:cNvSpPr>
          <a:spLocks/>
        </xdr:cNvSpPr>
      </xdr:nvSpPr>
      <xdr:spPr>
        <a:xfrm>
          <a:off x="4743450" y="3733800"/>
          <a:ext cx="114300" cy="133350"/>
        </a:xfrm>
        <a:prstGeom prst="arc">
          <a:avLst>
            <a:gd name="adj" fmla="val 8540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342900</xdr:colOff>
      <xdr:row>20</xdr:row>
      <xdr:rowOff>200025</xdr:rowOff>
    </xdr:from>
    <xdr:to>
      <xdr:col>10</xdr:col>
      <xdr:colOff>657225</xdr:colOff>
      <xdr:row>21</xdr:row>
      <xdr:rowOff>142875</xdr:rowOff>
    </xdr:to>
    <xdr:sp>
      <xdr:nvSpPr>
        <xdr:cNvPr id="49" name="Arc 102"/>
        <xdr:cNvSpPr>
          <a:spLocks/>
        </xdr:cNvSpPr>
      </xdr:nvSpPr>
      <xdr:spPr>
        <a:xfrm>
          <a:off x="7200900" y="4124325"/>
          <a:ext cx="314325" cy="180975"/>
        </a:xfrm>
        <a:prstGeom prst="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16</xdr:row>
      <xdr:rowOff>38100</xdr:rowOff>
    </xdr:from>
    <xdr:to>
      <xdr:col>9</xdr:col>
      <xdr:colOff>457200</xdr:colOff>
      <xdr:row>17</xdr:row>
      <xdr:rowOff>76200</xdr:rowOff>
    </xdr:to>
    <xdr:sp>
      <xdr:nvSpPr>
        <xdr:cNvPr id="50" name="TextBox 101"/>
        <xdr:cNvSpPr txBox="1">
          <a:spLocks noChangeArrowheads="1"/>
        </xdr:cNvSpPr>
      </xdr:nvSpPr>
      <xdr:spPr>
        <a:xfrm>
          <a:off x="6010275" y="3009900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/>
            <a:t>  L2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workbookViewId="0" topLeftCell="A1">
      <pane ySplit="5565" topLeftCell="BM59" activePane="bottomLeft" state="split"/>
      <selection pane="topLeft" activeCell="A10" sqref="A10"/>
      <selection pane="bottomLeft" activeCell="B64" sqref="B64"/>
    </sheetView>
  </sheetViews>
  <sheetFormatPr defaultColWidth="9.00390625" defaultRowHeight="12.75"/>
  <cols>
    <col min="1" max="1" width="9.75390625" style="3" customWidth="1"/>
    <col min="2" max="2" width="8.875" style="3" customWidth="1"/>
    <col min="3" max="5" width="9.375" style="3" customWidth="1"/>
    <col min="6" max="7" width="9.25390625" style="3" customWidth="1"/>
    <col min="8" max="8" width="9.375" style="3" customWidth="1"/>
    <col min="9" max="9" width="9.25390625" style="3" customWidth="1"/>
    <col min="10" max="10" width="9.375" style="3" customWidth="1"/>
    <col min="11" max="12" width="9.25390625" style="3" customWidth="1"/>
    <col min="13" max="13" width="9.375" style="3" customWidth="1"/>
    <col min="14" max="14" width="7.625" style="3" customWidth="1"/>
    <col min="15" max="18" width="9.25390625" style="3" customWidth="1"/>
    <col min="19" max="19" width="10.25390625" style="3" customWidth="1"/>
    <col min="20" max="20" width="9.75390625" style="3" customWidth="1"/>
    <col min="21" max="23" width="9.375" style="3" customWidth="1"/>
    <col min="24" max="24" width="11.125" style="3" customWidth="1"/>
    <col min="25" max="25" width="11.375" style="3" customWidth="1"/>
    <col min="26" max="26" width="7.625" style="3" customWidth="1"/>
    <col min="27" max="255" width="9.125" style="3" hidden="1" customWidth="1"/>
    <col min="256" max="16384" width="6.375" style="3" hidden="1" customWidth="1"/>
  </cols>
  <sheetData>
    <row r="1" spans="1:10" ht="12.75">
      <c r="A1" s="1" t="s">
        <v>52</v>
      </c>
      <c r="B1" s="31" t="s">
        <v>53</v>
      </c>
      <c r="C1" s="32"/>
      <c r="E1" s="4" t="s">
        <v>54</v>
      </c>
      <c r="F1" s="2" t="s">
        <v>55</v>
      </c>
      <c r="H1" s="33" t="s">
        <v>56</v>
      </c>
      <c r="I1" s="33"/>
      <c r="J1" s="5">
        <v>39</v>
      </c>
    </row>
    <row r="2" spans="1:3" ht="12.75">
      <c r="A2" s="6" t="s">
        <v>57</v>
      </c>
      <c r="C2" s="7"/>
    </row>
    <row r="3" spans="1:12" ht="13.5">
      <c r="A3" s="8" t="s">
        <v>4</v>
      </c>
      <c r="B3" s="2">
        <v>3</v>
      </c>
      <c r="C3" s="9" t="s">
        <v>122</v>
      </c>
      <c r="D3" s="2">
        <f>$B$6*COS(RADIANS($B$3))</f>
        <v>0.9986295347545738</v>
      </c>
      <c r="E3" s="9" t="s">
        <v>123</v>
      </c>
      <c r="F3" s="2">
        <f>$D$3+$B$7*COS($B$66)</f>
        <v>4.374149453370722</v>
      </c>
      <c r="G3" s="9" t="s">
        <v>124</v>
      </c>
      <c r="H3" s="2">
        <f>$D$3+$B$9*COS($B$66)</f>
        <v>7.749669371986871</v>
      </c>
      <c r="I3" s="8" t="s">
        <v>0</v>
      </c>
      <c r="J3" s="2">
        <f>1</f>
        <v>1</v>
      </c>
      <c r="K3" s="8" t="s">
        <v>1</v>
      </c>
      <c r="L3" s="2">
        <v>1</v>
      </c>
    </row>
    <row r="4" spans="1:12" ht="13.5">
      <c r="A4" s="10" t="s">
        <v>7</v>
      </c>
      <c r="B4" s="11">
        <v>15</v>
      </c>
      <c r="C4" s="9" t="s">
        <v>125</v>
      </c>
      <c r="D4" s="2">
        <f>$B$6*SIN(RADIANS($B$3))</f>
        <v>0.052335956242943835</v>
      </c>
      <c r="E4" s="9" t="s">
        <v>126</v>
      </c>
      <c r="F4" s="2">
        <f>$D$4+$B$7*SIN($B$66)</f>
        <v>9.465404811777022</v>
      </c>
      <c r="G4" s="9" t="s">
        <v>127</v>
      </c>
      <c r="H4" s="2">
        <f>$D$4+$B$9*SIN($B$66)</f>
        <v>18.878473667311102</v>
      </c>
      <c r="I4" s="8" t="s">
        <v>2</v>
      </c>
      <c r="J4" s="2">
        <v>1</v>
      </c>
      <c r="K4" s="8" t="s">
        <v>3</v>
      </c>
      <c r="L4" s="2">
        <v>1</v>
      </c>
    </row>
    <row r="5" spans="1:12" ht="13.5">
      <c r="A5" s="10" t="s">
        <v>8</v>
      </c>
      <c r="B5" s="2">
        <v>1</v>
      </c>
      <c r="C5" s="10" t="s">
        <v>9</v>
      </c>
      <c r="D5" s="2">
        <v>0</v>
      </c>
      <c r="E5" s="9"/>
      <c r="F5" s="2"/>
      <c r="G5" s="9"/>
      <c r="H5" s="2"/>
      <c r="I5" s="8" t="s">
        <v>5</v>
      </c>
      <c r="J5" s="2">
        <v>1</v>
      </c>
      <c r="K5" s="8" t="s">
        <v>6</v>
      </c>
      <c r="L5" s="2">
        <f>1</f>
        <v>1</v>
      </c>
    </row>
    <row r="6" spans="1:12" ht="12.75">
      <c r="A6" s="12" t="s">
        <v>10</v>
      </c>
      <c r="B6" s="2">
        <v>1</v>
      </c>
      <c r="C6" s="8" t="s">
        <v>11</v>
      </c>
      <c r="D6" s="2">
        <v>0.5</v>
      </c>
      <c r="E6" s="8" t="s">
        <v>12</v>
      </c>
      <c r="F6" s="2">
        <f>2</f>
        <v>2</v>
      </c>
      <c r="G6" s="8" t="s">
        <v>13</v>
      </c>
      <c r="H6" s="2">
        <v>2.5</v>
      </c>
      <c r="I6" s="8"/>
      <c r="J6" s="2"/>
      <c r="K6" s="8"/>
      <c r="L6" s="2"/>
    </row>
    <row r="7" spans="1:12" ht="12.75">
      <c r="A7" s="8" t="s">
        <v>14</v>
      </c>
      <c r="B7" s="2">
        <v>10</v>
      </c>
      <c r="C7" s="8" t="s">
        <v>15</v>
      </c>
      <c r="D7" s="2">
        <f>0.0085</f>
        <v>0.0085</v>
      </c>
      <c r="E7" s="8" t="s">
        <v>16</v>
      </c>
      <c r="F7" s="2">
        <f>0.017</f>
        <v>0.017</v>
      </c>
      <c r="G7" s="8" t="s">
        <v>17</v>
      </c>
      <c r="H7" s="2">
        <v>0</v>
      </c>
      <c r="I7" s="8"/>
      <c r="J7" s="2"/>
      <c r="K7" s="8"/>
      <c r="L7" s="2"/>
    </row>
    <row r="8" spans="1:8" ht="12.75">
      <c r="A8" s="8" t="s">
        <v>18</v>
      </c>
      <c r="B8" s="2">
        <v>10</v>
      </c>
      <c r="C8" s="8"/>
      <c r="D8" s="2"/>
      <c r="E8" s="8"/>
      <c r="F8" s="2"/>
      <c r="G8" s="8"/>
      <c r="H8" s="2"/>
    </row>
    <row r="9" spans="1:8" ht="12.75">
      <c r="A9" s="8" t="s">
        <v>19</v>
      </c>
      <c r="B9" s="2">
        <v>20</v>
      </c>
      <c r="C9" s="8"/>
      <c r="D9" s="2"/>
      <c r="E9" s="8"/>
      <c r="F9" s="2"/>
      <c r="G9" s="8"/>
      <c r="H9" s="2"/>
    </row>
    <row r="10" spans="1:10" ht="12.75">
      <c r="A10" s="8" t="s">
        <v>20</v>
      </c>
      <c r="B10" s="2">
        <v>7.6</v>
      </c>
      <c r="C10" s="13"/>
      <c r="D10" s="14"/>
      <c r="E10" s="13"/>
      <c r="F10" s="14"/>
      <c r="G10" s="3" t="s">
        <v>59</v>
      </c>
      <c r="H10" s="15">
        <v>0.01</v>
      </c>
      <c r="I10" s="8" t="s">
        <v>128</v>
      </c>
      <c r="J10" s="25">
        <v>10</v>
      </c>
    </row>
    <row r="11" spans="1:6" ht="12.75">
      <c r="A11" s="8" t="s">
        <v>21</v>
      </c>
      <c r="B11" s="2">
        <v>0</v>
      </c>
      <c r="C11" s="13"/>
      <c r="D11" s="14"/>
      <c r="E11" s="13"/>
      <c r="F11" s="14"/>
    </row>
    <row r="12" spans="1:4" ht="12.75">
      <c r="A12" s="1" t="s">
        <v>58</v>
      </c>
      <c r="C12" s="16"/>
      <c r="D12" s="7"/>
    </row>
    <row r="13" spans="1:26" ht="12.75">
      <c r="A13" s="8" t="s">
        <v>22</v>
      </c>
      <c r="B13" s="3">
        <f>B3</f>
        <v>3</v>
      </c>
      <c r="C13" s="3">
        <f aca="true" t="shared" si="0" ref="C13:V13">B13+$B$4</f>
        <v>18</v>
      </c>
      <c r="D13" s="3">
        <f t="shared" si="0"/>
        <v>33</v>
      </c>
      <c r="E13" s="3">
        <f t="shared" si="0"/>
        <v>48</v>
      </c>
      <c r="F13" s="3">
        <f t="shared" si="0"/>
        <v>63</v>
      </c>
      <c r="G13" s="3">
        <f t="shared" si="0"/>
        <v>78</v>
      </c>
      <c r="H13" s="3">
        <f t="shared" si="0"/>
        <v>93</v>
      </c>
      <c r="I13" s="3">
        <f t="shared" si="0"/>
        <v>108</v>
      </c>
      <c r="J13" s="3">
        <f t="shared" si="0"/>
        <v>123</v>
      </c>
      <c r="K13" s="3">
        <f t="shared" si="0"/>
        <v>138</v>
      </c>
      <c r="L13" s="3">
        <f t="shared" si="0"/>
        <v>153</v>
      </c>
      <c r="M13" s="3">
        <f t="shared" si="0"/>
        <v>168</v>
      </c>
      <c r="N13" s="3">
        <f t="shared" si="0"/>
        <v>183</v>
      </c>
      <c r="O13" s="3">
        <f t="shared" si="0"/>
        <v>198</v>
      </c>
      <c r="P13" s="3">
        <f t="shared" si="0"/>
        <v>213</v>
      </c>
      <c r="Q13" s="3">
        <f t="shared" si="0"/>
        <v>228</v>
      </c>
      <c r="R13" s="3">
        <f t="shared" si="0"/>
        <v>243</v>
      </c>
      <c r="S13" s="3">
        <f t="shared" si="0"/>
        <v>258</v>
      </c>
      <c r="T13" s="3">
        <f t="shared" si="0"/>
        <v>273</v>
      </c>
      <c r="U13" s="3">
        <f t="shared" si="0"/>
        <v>288</v>
      </c>
      <c r="V13" s="3">
        <f t="shared" si="0"/>
        <v>303</v>
      </c>
      <c r="W13" s="3">
        <f>V13+$B$4</f>
        <v>318</v>
      </c>
      <c r="X13" s="3">
        <f>W13+$B$4</f>
        <v>333</v>
      </c>
      <c r="Y13" s="3">
        <f>X13+$B$4</f>
        <v>348</v>
      </c>
      <c r="Z13" s="3">
        <f>Y13+$B$4</f>
        <v>363</v>
      </c>
    </row>
    <row r="14" spans="1:26" ht="12.75">
      <c r="A14" s="8" t="s">
        <v>23</v>
      </c>
      <c r="B14" s="3">
        <f>RADIANS(B13)</f>
        <v>0.05235987755982989</v>
      </c>
      <c r="C14" s="3">
        <f aca="true" t="shared" si="1" ref="C14:Z14">RADIANS(C13)</f>
        <v>0.3141592653589793</v>
      </c>
      <c r="D14" s="3">
        <f t="shared" si="1"/>
        <v>0.5759586531581288</v>
      </c>
      <c r="E14" s="3">
        <f t="shared" si="1"/>
        <v>0.8377580409572782</v>
      </c>
      <c r="F14" s="3">
        <f t="shared" si="1"/>
        <v>1.0995574287564276</v>
      </c>
      <c r="G14" s="3">
        <f t="shared" si="1"/>
        <v>1.361356816555577</v>
      </c>
      <c r="H14" s="3">
        <f t="shared" si="1"/>
        <v>1.6231562043547265</v>
      </c>
      <c r="I14" s="3">
        <f t="shared" si="1"/>
        <v>1.8849555921538759</v>
      </c>
      <c r="J14" s="3">
        <f t="shared" si="1"/>
        <v>2.1467549799530254</v>
      </c>
      <c r="K14" s="3">
        <f t="shared" si="1"/>
        <v>2.4085543677521746</v>
      </c>
      <c r="L14" s="3">
        <f t="shared" si="1"/>
        <v>2.670353755551324</v>
      </c>
      <c r="M14" s="3">
        <f t="shared" si="1"/>
        <v>2.9321531433504737</v>
      </c>
      <c r="N14" s="3">
        <f t="shared" si="1"/>
        <v>3.193952531149623</v>
      </c>
      <c r="O14" s="3">
        <f t="shared" si="1"/>
        <v>3.4557519189487724</v>
      </c>
      <c r="P14" s="3">
        <f t="shared" si="1"/>
        <v>3.717551306747922</v>
      </c>
      <c r="Q14" s="3">
        <f t="shared" si="1"/>
        <v>3.9793506945470716</v>
      </c>
      <c r="R14" s="3">
        <f t="shared" si="1"/>
        <v>4.241150082346221</v>
      </c>
      <c r="S14" s="3">
        <f t="shared" si="1"/>
        <v>4.50294947014537</v>
      </c>
      <c r="T14" s="3">
        <f t="shared" si="1"/>
        <v>4.76474885794452</v>
      </c>
      <c r="U14" s="3">
        <f t="shared" si="1"/>
        <v>5.026548245743669</v>
      </c>
      <c r="V14" s="3">
        <f t="shared" si="1"/>
        <v>5.288347633542818</v>
      </c>
      <c r="W14" s="3">
        <f t="shared" si="1"/>
        <v>5.550147021341968</v>
      </c>
      <c r="X14" s="3">
        <f t="shared" si="1"/>
        <v>5.811946409141117</v>
      </c>
      <c r="Y14" s="3">
        <f t="shared" si="1"/>
        <v>6.073745796940266</v>
      </c>
      <c r="Z14" s="3">
        <f t="shared" si="1"/>
        <v>6.335545184739416</v>
      </c>
    </row>
    <row r="15" spans="1:26" ht="11.25" customHeight="1">
      <c r="A15" s="8" t="s">
        <v>24</v>
      </c>
      <c r="B15" s="3">
        <f>RADIANS(B13-$B$3)</f>
        <v>0</v>
      </c>
      <c r="C15" s="3">
        <f aca="true" t="shared" si="2" ref="C15:Z15">RADIANS(C13-$B$3)</f>
        <v>0.2617993877991494</v>
      </c>
      <c r="D15" s="3">
        <f t="shared" si="2"/>
        <v>0.5235987755982988</v>
      </c>
      <c r="E15" s="3">
        <f t="shared" si="2"/>
        <v>0.7853981633974483</v>
      </c>
      <c r="F15" s="3">
        <f t="shared" si="2"/>
        <v>1.0471975511965976</v>
      </c>
      <c r="G15" s="3">
        <f t="shared" si="2"/>
        <v>1.3089969389957472</v>
      </c>
      <c r="H15" s="3">
        <f t="shared" si="2"/>
        <v>1.5707963267948966</v>
      </c>
      <c r="I15" s="3">
        <f t="shared" si="2"/>
        <v>1.8325957145940461</v>
      </c>
      <c r="J15" s="3">
        <f t="shared" si="2"/>
        <v>2.0943951023931953</v>
      </c>
      <c r="K15" s="3">
        <f t="shared" si="2"/>
        <v>2.356194490192345</v>
      </c>
      <c r="L15" s="3">
        <f t="shared" si="2"/>
        <v>2.6179938779914944</v>
      </c>
      <c r="M15" s="3">
        <f t="shared" si="2"/>
        <v>2.8797932657906435</v>
      </c>
      <c r="N15" s="3">
        <f t="shared" si="2"/>
        <v>3.141592653589793</v>
      </c>
      <c r="O15" s="3">
        <f t="shared" si="2"/>
        <v>3.4033920413889427</v>
      </c>
      <c r="P15" s="3">
        <f t="shared" si="2"/>
        <v>3.6651914291880923</v>
      </c>
      <c r="Q15" s="3">
        <f t="shared" si="2"/>
        <v>3.9269908169872414</v>
      </c>
      <c r="R15" s="3">
        <f t="shared" si="2"/>
        <v>4.1887902047863905</v>
      </c>
      <c r="S15" s="3">
        <f t="shared" si="2"/>
        <v>4.4505895925855405</v>
      </c>
      <c r="T15" s="3">
        <f t="shared" si="2"/>
        <v>4.71238898038469</v>
      </c>
      <c r="U15" s="3">
        <f t="shared" si="2"/>
        <v>4.974188368183839</v>
      </c>
      <c r="V15" s="3">
        <f t="shared" si="2"/>
        <v>5.235987755982989</v>
      </c>
      <c r="W15" s="3">
        <f t="shared" si="2"/>
        <v>5.497787143782138</v>
      </c>
      <c r="X15" s="3">
        <f t="shared" si="2"/>
        <v>5.759586531581287</v>
      </c>
      <c r="Y15" s="3">
        <f t="shared" si="2"/>
        <v>6.021385919380437</v>
      </c>
      <c r="Z15" s="3">
        <f t="shared" si="2"/>
        <v>6.283185307179586</v>
      </c>
    </row>
    <row r="16" spans="1:26" ht="12.75">
      <c r="A16" s="8" t="s">
        <v>50</v>
      </c>
      <c r="B16" s="3">
        <f>SIN(B15)</f>
        <v>0</v>
      </c>
      <c r="C16" s="3">
        <f aca="true" t="shared" si="3" ref="C16:Z16">SIN(C15)</f>
        <v>0.25881904510252074</v>
      </c>
      <c r="D16" s="3">
        <f t="shared" si="3"/>
        <v>0.49999999999999994</v>
      </c>
      <c r="E16" s="3">
        <f t="shared" si="3"/>
        <v>0.7071067811865475</v>
      </c>
      <c r="F16" s="3">
        <f t="shared" si="3"/>
        <v>0.8660254037844386</v>
      </c>
      <c r="G16" s="3">
        <f t="shared" si="3"/>
        <v>0.9659258262890683</v>
      </c>
      <c r="H16" s="3">
        <f t="shared" si="3"/>
        <v>1</v>
      </c>
      <c r="I16" s="3">
        <f t="shared" si="3"/>
        <v>0.9659258262890683</v>
      </c>
      <c r="J16" s="3">
        <f t="shared" si="3"/>
        <v>0.8660254037844387</v>
      </c>
      <c r="K16" s="3">
        <f t="shared" si="3"/>
        <v>0.7071067811865476</v>
      </c>
      <c r="L16" s="3">
        <f t="shared" si="3"/>
        <v>0.49999999999999994</v>
      </c>
      <c r="M16" s="3">
        <f t="shared" si="3"/>
        <v>0.258819045102521</v>
      </c>
      <c r="N16" s="3">
        <f t="shared" si="3"/>
        <v>1.22514845490862E-16</v>
      </c>
      <c r="O16" s="3">
        <f t="shared" si="3"/>
        <v>-0.2588190451025208</v>
      </c>
      <c r="P16" s="3">
        <f t="shared" si="3"/>
        <v>-0.5000000000000001</v>
      </c>
      <c r="Q16" s="3">
        <f t="shared" si="3"/>
        <v>-0.7071067811865475</v>
      </c>
      <c r="R16" s="3">
        <f t="shared" si="3"/>
        <v>-0.8660254037844384</v>
      </c>
      <c r="S16" s="3">
        <f t="shared" si="3"/>
        <v>-0.9659258262890683</v>
      </c>
      <c r="T16" s="3">
        <f t="shared" si="3"/>
        <v>-1</v>
      </c>
      <c r="U16" s="3">
        <f t="shared" si="3"/>
        <v>-0.9659258262890684</v>
      </c>
      <c r="V16" s="3">
        <f t="shared" si="3"/>
        <v>-0.8660254037844386</v>
      </c>
      <c r="W16" s="3">
        <f t="shared" si="3"/>
        <v>-0.7071067811865477</v>
      </c>
      <c r="X16" s="3">
        <f t="shared" si="3"/>
        <v>-0.5000000000000004</v>
      </c>
      <c r="Y16" s="3">
        <f t="shared" si="3"/>
        <v>-0.2588190451025207</v>
      </c>
      <c r="Z16" s="3">
        <f t="shared" si="3"/>
        <v>-2.45029690981724E-16</v>
      </c>
    </row>
    <row r="17" spans="1:26" ht="12.75">
      <c r="A17" s="8" t="s">
        <v>51</v>
      </c>
      <c r="B17" s="3">
        <f>COS(B15)</f>
        <v>1</v>
      </c>
      <c r="C17" s="3">
        <f aca="true" t="shared" si="4" ref="C17:Z17">COS(C15)</f>
        <v>0.9659258262890683</v>
      </c>
      <c r="D17" s="3">
        <f t="shared" si="4"/>
        <v>0.8660254037844387</v>
      </c>
      <c r="E17" s="3">
        <f t="shared" si="4"/>
        <v>0.7071067811865476</v>
      </c>
      <c r="F17" s="3">
        <f t="shared" si="4"/>
        <v>0.5000000000000001</v>
      </c>
      <c r="G17" s="3">
        <f t="shared" si="4"/>
        <v>0.25881904510252074</v>
      </c>
      <c r="H17" s="3">
        <f t="shared" si="4"/>
        <v>6.1257422745431E-17</v>
      </c>
      <c r="I17" s="3">
        <f t="shared" si="4"/>
        <v>-0.25881904510252085</v>
      </c>
      <c r="J17" s="3">
        <f t="shared" si="4"/>
        <v>-0.4999999999999998</v>
      </c>
      <c r="K17" s="3">
        <f t="shared" si="4"/>
        <v>-0.7071067811865475</v>
      </c>
      <c r="L17" s="3">
        <f t="shared" si="4"/>
        <v>-0.8660254037844387</v>
      </c>
      <c r="M17" s="3">
        <f t="shared" si="4"/>
        <v>-0.9659258262890682</v>
      </c>
      <c r="N17" s="3">
        <f t="shared" si="4"/>
        <v>-1</v>
      </c>
      <c r="O17" s="3">
        <f t="shared" si="4"/>
        <v>-0.9659258262890683</v>
      </c>
      <c r="P17" s="3">
        <f t="shared" si="4"/>
        <v>-0.8660254037844386</v>
      </c>
      <c r="Q17" s="3">
        <f t="shared" si="4"/>
        <v>-0.7071067811865477</v>
      </c>
      <c r="R17" s="3">
        <f t="shared" si="4"/>
        <v>-0.5000000000000004</v>
      </c>
      <c r="S17" s="3">
        <f t="shared" si="4"/>
        <v>-0.25881904510252063</v>
      </c>
      <c r="T17" s="3">
        <f t="shared" si="4"/>
        <v>-1.83772268236293E-16</v>
      </c>
      <c r="U17" s="3">
        <f t="shared" si="4"/>
        <v>0.2588190451025203</v>
      </c>
      <c r="V17" s="3">
        <f t="shared" si="4"/>
        <v>0.5000000000000001</v>
      </c>
      <c r="W17" s="3">
        <f t="shared" si="4"/>
        <v>0.7071067811865474</v>
      </c>
      <c r="X17" s="3">
        <f t="shared" si="4"/>
        <v>0.8660254037844384</v>
      </c>
      <c r="Y17" s="3">
        <f t="shared" si="4"/>
        <v>0.9659258262890683</v>
      </c>
      <c r="Z17" s="3">
        <f t="shared" si="4"/>
        <v>1</v>
      </c>
    </row>
    <row r="18" spans="1:26" ht="12.75">
      <c r="A18" s="8" t="s">
        <v>91</v>
      </c>
      <c r="B18" s="3">
        <f aca="true" t="shared" si="5" ref="B18:Z18">B15/B20</f>
        <v>0</v>
      </c>
      <c r="C18" s="3">
        <f t="shared" si="5"/>
        <v>0.2617993877991494</v>
      </c>
      <c r="D18" s="3">
        <f t="shared" si="5"/>
        <v>0.5235987755982988</v>
      </c>
      <c r="E18" s="3">
        <f t="shared" si="5"/>
        <v>0.7853981633974483</v>
      </c>
      <c r="F18" s="3">
        <f t="shared" si="5"/>
        <v>1.0471975511965976</v>
      </c>
      <c r="G18" s="3">
        <f t="shared" si="5"/>
        <v>1.3089969389957472</v>
      </c>
      <c r="H18" s="3">
        <f t="shared" si="5"/>
        <v>1.5707963267948966</v>
      </c>
      <c r="I18" s="3">
        <f t="shared" si="5"/>
        <v>1.8325957145940461</v>
      </c>
      <c r="J18" s="3">
        <f t="shared" si="5"/>
        <v>2.0943951023931953</v>
      </c>
      <c r="K18" s="3">
        <f t="shared" si="5"/>
        <v>2.356194490192345</v>
      </c>
      <c r="L18" s="3">
        <f t="shared" si="5"/>
        <v>2.6179938779914944</v>
      </c>
      <c r="M18" s="3">
        <f t="shared" si="5"/>
        <v>2.8797932657906435</v>
      </c>
      <c r="N18" s="3">
        <f t="shared" si="5"/>
        <v>3.141592653589793</v>
      </c>
      <c r="O18" s="3">
        <f t="shared" si="5"/>
        <v>3.4033920413889427</v>
      </c>
      <c r="P18" s="3">
        <f t="shared" si="5"/>
        <v>3.6651914291880923</v>
      </c>
      <c r="Q18" s="3">
        <f t="shared" si="5"/>
        <v>3.9269908169872414</v>
      </c>
      <c r="R18" s="3">
        <f t="shared" si="5"/>
        <v>4.1887902047863905</v>
      </c>
      <c r="S18" s="3">
        <f t="shared" si="5"/>
        <v>4.4505895925855405</v>
      </c>
      <c r="T18" s="3">
        <f t="shared" si="5"/>
        <v>4.71238898038469</v>
      </c>
      <c r="U18" s="3">
        <f t="shared" si="5"/>
        <v>4.974188368183839</v>
      </c>
      <c r="V18" s="3">
        <f t="shared" si="5"/>
        <v>5.235987755982989</v>
      </c>
      <c r="W18" s="3">
        <f t="shared" si="5"/>
        <v>5.497787143782138</v>
      </c>
      <c r="X18" s="3">
        <f t="shared" si="5"/>
        <v>5.759586531581287</v>
      </c>
      <c r="Y18" s="3">
        <f t="shared" si="5"/>
        <v>6.021385919380437</v>
      </c>
      <c r="Z18" s="3">
        <f t="shared" si="5"/>
        <v>6.283185307179586</v>
      </c>
    </row>
    <row r="19" spans="1:26" ht="12.75">
      <c r="A19" s="12" t="s">
        <v>88</v>
      </c>
      <c r="B19" s="3">
        <f>D5</f>
        <v>0</v>
      </c>
      <c r="C19" s="3">
        <f aca="true" t="shared" si="6" ref="C19:Z19">B19</f>
        <v>0</v>
      </c>
      <c r="D19" s="3">
        <f t="shared" si="6"/>
        <v>0</v>
      </c>
      <c r="E19" s="3">
        <f t="shared" si="6"/>
        <v>0</v>
      </c>
      <c r="F19" s="3">
        <f t="shared" si="6"/>
        <v>0</v>
      </c>
      <c r="G19" s="3">
        <f t="shared" si="6"/>
        <v>0</v>
      </c>
      <c r="H19" s="3">
        <f t="shared" si="6"/>
        <v>0</v>
      </c>
      <c r="I19" s="3">
        <f t="shared" si="6"/>
        <v>0</v>
      </c>
      <c r="J19" s="3">
        <f t="shared" si="6"/>
        <v>0</v>
      </c>
      <c r="K19" s="3">
        <f t="shared" si="6"/>
        <v>0</v>
      </c>
      <c r="L19" s="3">
        <f t="shared" si="6"/>
        <v>0</v>
      </c>
      <c r="M19" s="3">
        <f t="shared" si="6"/>
        <v>0</v>
      </c>
      <c r="N19" s="3">
        <f t="shared" si="6"/>
        <v>0</v>
      </c>
      <c r="O19" s="3">
        <f t="shared" si="6"/>
        <v>0</v>
      </c>
      <c r="P19" s="3">
        <f t="shared" si="6"/>
        <v>0</v>
      </c>
      <c r="Q19" s="3">
        <f t="shared" si="6"/>
        <v>0</v>
      </c>
      <c r="R19" s="3">
        <f t="shared" si="6"/>
        <v>0</v>
      </c>
      <c r="S19" s="3">
        <f t="shared" si="6"/>
        <v>0</v>
      </c>
      <c r="T19" s="3">
        <f t="shared" si="6"/>
        <v>0</v>
      </c>
      <c r="U19" s="3">
        <f t="shared" si="6"/>
        <v>0</v>
      </c>
      <c r="V19" s="3">
        <f t="shared" si="6"/>
        <v>0</v>
      </c>
      <c r="W19" s="3">
        <f t="shared" si="6"/>
        <v>0</v>
      </c>
      <c r="X19" s="3">
        <f t="shared" si="6"/>
        <v>0</v>
      </c>
      <c r="Y19" s="3">
        <f t="shared" si="6"/>
        <v>0</v>
      </c>
      <c r="Z19" s="3">
        <f t="shared" si="6"/>
        <v>0</v>
      </c>
    </row>
    <row r="20" spans="1:26" ht="12.75">
      <c r="A20" s="12" t="s">
        <v>89</v>
      </c>
      <c r="B20" s="3">
        <f>B5</f>
        <v>1</v>
      </c>
      <c r="C20" s="3">
        <f>B20+B19*B18</f>
        <v>1</v>
      </c>
      <c r="D20" s="3">
        <f aca="true" t="shared" si="7" ref="D20:Z20">C20+C19*C18</f>
        <v>1</v>
      </c>
      <c r="E20" s="3">
        <f t="shared" si="7"/>
        <v>1</v>
      </c>
      <c r="F20" s="3">
        <f t="shared" si="7"/>
        <v>1</v>
      </c>
      <c r="G20" s="3">
        <f t="shared" si="7"/>
        <v>1</v>
      </c>
      <c r="H20" s="3">
        <f t="shared" si="7"/>
        <v>1</v>
      </c>
      <c r="I20" s="3">
        <f t="shared" si="7"/>
        <v>1</v>
      </c>
      <c r="J20" s="3">
        <f t="shared" si="7"/>
        <v>1</v>
      </c>
      <c r="K20" s="3">
        <f t="shared" si="7"/>
        <v>1</v>
      </c>
      <c r="L20" s="3">
        <f t="shared" si="7"/>
        <v>1</v>
      </c>
      <c r="M20" s="3">
        <f t="shared" si="7"/>
        <v>1</v>
      </c>
      <c r="N20" s="3">
        <f t="shared" si="7"/>
        <v>1</v>
      </c>
      <c r="O20" s="3">
        <f t="shared" si="7"/>
        <v>1</v>
      </c>
      <c r="P20" s="3">
        <f t="shared" si="7"/>
        <v>1</v>
      </c>
      <c r="Q20" s="3">
        <f t="shared" si="7"/>
        <v>1</v>
      </c>
      <c r="R20" s="3">
        <f t="shared" si="7"/>
        <v>1</v>
      </c>
      <c r="S20" s="3">
        <f t="shared" si="7"/>
        <v>1</v>
      </c>
      <c r="T20" s="3">
        <f t="shared" si="7"/>
        <v>1</v>
      </c>
      <c r="U20" s="3">
        <f t="shared" si="7"/>
        <v>1</v>
      </c>
      <c r="V20" s="3">
        <f t="shared" si="7"/>
        <v>1</v>
      </c>
      <c r="W20" s="3">
        <f t="shared" si="7"/>
        <v>1</v>
      </c>
      <c r="X20" s="3">
        <f t="shared" si="7"/>
        <v>1</v>
      </c>
      <c r="Y20" s="3">
        <f t="shared" si="7"/>
        <v>1</v>
      </c>
      <c r="Z20" s="3">
        <f t="shared" si="7"/>
        <v>1</v>
      </c>
    </row>
    <row r="21" spans="1:26" ht="12.75">
      <c r="A21" s="8" t="s">
        <v>25</v>
      </c>
      <c r="B21" s="3">
        <v>0</v>
      </c>
      <c r="C21" s="3">
        <f>B21+C18</f>
        <v>0.2617993877991494</v>
      </c>
      <c r="D21" s="3">
        <f aca="true" t="shared" si="8" ref="D21:Z21">C21+D18</f>
        <v>0.7853981633974483</v>
      </c>
      <c r="E21" s="3">
        <f t="shared" si="8"/>
        <v>1.5707963267948966</v>
      </c>
      <c r="F21" s="3">
        <f t="shared" si="8"/>
        <v>2.617993877991494</v>
      </c>
      <c r="G21" s="3">
        <f t="shared" si="8"/>
        <v>3.9269908169872414</v>
      </c>
      <c r="H21" s="3">
        <f t="shared" si="8"/>
        <v>5.497787143782138</v>
      </c>
      <c r="I21" s="3">
        <f t="shared" si="8"/>
        <v>7.3303828583761845</v>
      </c>
      <c r="J21" s="3">
        <f t="shared" si="8"/>
        <v>9.42477796076938</v>
      </c>
      <c r="K21" s="3">
        <f t="shared" si="8"/>
        <v>11.780972450961723</v>
      </c>
      <c r="L21" s="3">
        <f t="shared" si="8"/>
        <v>14.398966328953218</v>
      </c>
      <c r="M21" s="3">
        <f t="shared" si="8"/>
        <v>17.27875959474386</v>
      </c>
      <c r="N21" s="3">
        <f t="shared" si="8"/>
        <v>20.420352248333653</v>
      </c>
      <c r="O21" s="3">
        <f t="shared" si="8"/>
        <v>23.823744289722598</v>
      </c>
      <c r="P21" s="3">
        <f t="shared" si="8"/>
        <v>27.48893571891069</v>
      </c>
      <c r="Q21" s="3">
        <f t="shared" si="8"/>
        <v>31.41592653589793</v>
      </c>
      <c r="R21" s="3">
        <f t="shared" si="8"/>
        <v>35.604716740684324</v>
      </c>
      <c r="S21" s="3">
        <f t="shared" si="8"/>
        <v>40.05530633326987</v>
      </c>
      <c r="T21" s="3">
        <f t="shared" si="8"/>
        <v>44.767695313654556</v>
      </c>
      <c r="U21" s="3">
        <f t="shared" si="8"/>
        <v>49.741883681838395</v>
      </c>
      <c r="V21" s="3">
        <f t="shared" si="8"/>
        <v>54.977871437821385</v>
      </c>
      <c r="W21" s="3">
        <f t="shared" si="8"/>
        <v>60.475658581603525</v>
      </c>
      <c r="X21" s="3">
        <f t="shared" si="8"/>
        <v>66.23524511318482</v>
      </c>
      <c r="Y21" s="3">
        <f t="shared" si="8"/>
        <v>72.25663103256525</v>
      </c>
      <c r="Z21" s="3">
        <f t="shared" si="8"/>
        <v>78.53981633974485</v>
      </c>
    </row>
    <row r="22" spans="1:26" ht="12.75">
      <c r="A22" s="8" t="s">
        <v>90</v>
      </c>
      <c r="B22" s="3">
        <f>$B$5</f>
        <v>1</v>
      </c>
      <c r="C22" s="3">
        <f>B22+$D$5*B18</f>
        <v>1</v>
      </c>
      <c r="D22" s="3">
        <f aca="true" t="shared" si="9" ref="D22:Z22">C22+$D$5*C18</f>
        <v>1</v>
      </c>
      <c r="E22" s="3">
        <f t="shared" si="9"/>
        <v>1</v>
      </c>
      <c r="F22" s="3">
        <f t="shared" si="9"/>
        <v>1</v>
      </c>
      <c r="G22" s="3">
        <f t="shared" si="9"/>
        <v>1</v>
      </c>
      <c r="H22" s="3">
        <f t="shared" si="9"/>
        <v>1</v>
      </c>
      <c r="I22" s="3">
        <f t="shared" si="9"/>
        <v>1</v>
      </c>
      <c r="J22" s="3">
        <f t="shared" si="9"/>
        <v>1</v>
      </c>
      <c r="K22" s="3">
        <f t="shared" si="9"/>
        <v>1</v>
      </c>
      <c r="L22" s="3">
        <f t="shared" si="9"/>
        <v>1</v>
      </c>
      <c r="M22" s="3">
        <f t="shared" si="9"/>
        <v>1</v>
      </c>
      <c r="N22" s="3">
        <f t="shared" si="9"/>
        <v>1</v>
      </c>
      <c r="O22" s="3">
        <f t="shared" si="9"/>
        <v>1</v>
      </c>
      <c r="P22" s="3">
        <f t="shared" si="9"/>
        <v>1</v>
      </c>
      <c r="Q22" s="3">
        <f t="shared" si="9"/>
        <v>1</v>
      </c>
      <c r="R22" s="3">
        <f t="shared" si="9"/>
        <v>1</v>
      </c>
      <c r="S22" s="3">
        <f t="shared" si="9"/>
        <v>1</v>
      </c>
      <c r="T22" s="3">
        <f t="shared" si="9"/>
        <v>1</v>
      </c>
      <c r="U22" s="3">
        <f t="shared" si="9"/>
        <v>1</v>
      </c>
      <c r="V22" s="3">
        <f t="shared" si="9"/>
        <v>1</v>
      </c>
      <c r="W22" s="3">
        <f t="shared" si="9"/>
        <v>1</v>
      </c>
      <c r="X22" s="3">
        <f t="shared" si="9"/>
        <v>1</v>
      </c>
      <c r="Y22" s="3">
        <f t="shared" si="9"/>
        <v>1</v>
      </c>
      <c r="Z22" s="3">
        <f t="shared" si="9"/>
        <v>1</v>
      </c>
    </row>
    <row r="23" spans="1:26" ht="12.75">
      <c r="A23" s="8" t="s">
        <v>26</v>
      </c>
      <c r="B23" s="3">
        <f>$B$14</f>
        <v>0.05235987755982989</v>
      </c>
      <c r="C23" s="3">
        <f>B23+(B22+C22)*C18/2+0.5*B19*C18^2</f>
        <v>0.3141592653589793</v>
      </c>
      <c r="D23" s="3">
        <f aca="true" t="shared" si="10" ref="D23:Z23">C23+(C22+D22)*D18/2+0.5*C19*D18^2</f>
        <v>0.8377580409572781</v>
      </c>
      <c r="E23" s="3">
        <f t="shared" si="10"/>
        <v>1.6231562043547263</v>
      </c>
      <c r="F23" s="3">
        <f t="shared" si="10"/>
        <v>2.670353755551324</v>
      </c>
      <c r="G23" s="3">
        <f t="shared" si="10"/>
        <v>3.9793506945470716</v>
      </c>
      <c r="H23" s="3">
        <f t="shared" si="10"/>
        <v>5.550147021341968</v>
      </c>
      <c r="I23" s="3">
        <f t="shared" si="10"/>
        <v>7.382742735936015</v>
      </c>
      <c r="J23" s="3">
        <f t="shared" si="10"/>
        <v>9.47713783832921</v>
      </c>
      <c r="K23" s="3">
        <f t="shared" si="10"/>
        <v>11.833332328521553</v>
      </c>
      <c r="L23" s="3">
        <f t="shared" si="10"/>
        <v>14.451326206513048</v>
      </c>
      <c r="M23" s="3">
        <f t="shared" si="10"/>
        <v>17.33111947230369</v>
      </c>
      <c r="N23" s="3">
        <f t="shared" si="10"/>
        <v>20.472712125893484</v>
      </c>
      <c r="O23" s="3">
        <f t="shared" si="10"/>
        <v>23.876104167282428</v>
      </c>
      <c r="P23" s="3">
        <f t="shared" si="10"/>
        <v>27.54129559647052</v>
      </c>
      <c r="Q23" s="3">
        <f t="shared" si="10"/>
        <v>31.46828641345776</v>
      </c>
      <c r="R23" s="3">
        <f t="shared" si="10"/>
        <v>35.657076618244155</v>
      </c>
      <c r="S23" s="3">
        <f t="shared" si="10"/>
        <v>40.10766621082969</v>
      </c>
      <c r="T23" s="3">
        <f t="shared" si="10"/>
        <v>44.82005519121438</v>
      </c>
      <c r="U23" s="3">
        <f t="shared" si="10"/>
        <v>49.79424355939822</v>
      </c>
      <c r="V23" s="3">
        <f t="shared" si="10"/>
        <v>55.03023131538121</v>
      </c>
      <c r="W23" s="3">
        <f t="shared" si="10"/>
        <v>60.52801845916335</v>
      </c>
      <c r="X23" s="3">
        <f t="shared" si="10"/>
        <v>66.28760499074464</v>
      </c>
      <c r="Y23" s="3">
        <f t="shared" si="10"/>
        <v>72.30899091012508</v>
      </c>
      <c r="Z23" s="3">
        <f t="shared" si="10"/>
        <v>78.59217621730465</v>
      </c>
    </row>
    <row r="25" spans="1:4" s="17" customFormat="1" ht="12.75">
      <c r="A25" s="34" t="s">
        <v>157</v>
      </c>
      <c r="B25" s="34"/>
      <c r="C25" s="34"/>
      <c r="D25" s="17" t="s">
        <v>96</v>
      </c>
    </row>
    <row r="26" spans="1:26" ht="12.75">
      <c r="A26" s="8" t="s">
        <v>27</v>
      </c>
      <c r="B26" s="3">
        <f aca="true" t="shared" si="11" ref="B26:Z26">$D$3*B17-$D$4*B16</f>
        <v>0.9986295347545738</v>
      </c>
      <c r="C26" s="3">
        <f t="shared" si="11"/>
        <v>0.9510565162951535</v>
      </c>
      <c r="D26" s="3">
        <f t="shared" si="11"/>
        <v>0.838670567945424</v>
      </c>
      <c r="E26" s="3">
        <f t="shared" si="11"/>
        <v>0.6691306063588582</v>
      </c>
      <c r="F26" s="3">
        <f t="shared" si="11"/>
        <v>0.45399049973954686</v>
      </c>
      <c r="G26" s="3">
        <f t="shared" si="11"/>
        <v>0.20791169081775931</v>
      </c>
      <c r="H26" s="3">
        <f t="shared" si="11"/>
        <v>-0.05233595624294377</v>
      </c>
      <c r="I26" s="3">
        <f t="shared" si="11"/>
        <v>-0.3090169943749475</v>
      </c>
      <c r="J26" s="3">
        <f t="shared" si="11"/>
        <v>-0.5446390350150269</v>
      </c>
      <c r="K26" s="3">
        <f t="shared" si="11"/>
        <v>-0.7431448254773941</v>
      </c>
      <c r="L26" s="3">
        <f t="shared" si="11"/>
        <v>-0.8910065241883678</v>
      </c>
      <c r="M26" s="3">
        <f t="shared" si="11"/>
        <v>-0.9781476007338055</v>
      </c>
      <c r="N26" s="3">
        <f t="shared" si="11"/>
        <v>-0.9986295347545738</v>
      </c>
      <c r="O26" s="3">
        <f t="shared" si="11"/>
        <v>-0.9510565162951535</v>
      </c>
      <c r="P26" s="3">
        <f t="shared" si="11"/>
        <v>-0.8386705679454238</v>
      </c>
      <c r="Q26" s="3">
        <f t="shared" si="11"/>
        <v>-0.6691306063588583</v>
      </c>
      <c r="R26" s="3">
        <f t="shared" si="11"/>
        <v>-0.45399049973954725</v>
      </c>
      <c r="S26" s="3">
        <f t="shared" si="11"/>
        <v>-0.2079116908177592</v>
      </c>
      <c r="T26" s="3">
        <f t="shared" si="11"/>
        <v>0.052335956242943654</v>
      </c>
      <c r="U26" s="3">
        <f t="shared" si="11"/>
        <v>0.309016994374947</v>
      </c>
      <c r="V26" s="3">
        <f t="shared" si="11"/>
        <v>0.5446390350150272</v>
      </c>
      <c r="W26" s="3">
        <f t="shared" si="11"/>
        <v>0.743144825477394</v>
      </c>
      <c r="X26" s="3">
        <f t="shared" si="11"/>
        <v>0.8910065241883676</v>
      </c>
      <c r="Y26" s="3">
        <f t="shared" si="11"/>
        <v>0.9781476007338056</v>
      </c>
      <c r="Z26" s="3">
        <f t="shared" si="11"/>
        <v>0.9986295347545738</v>
      </c>
    </row>
    <row r="27" spans="1:26" ht="12.75">
      <c r="A27" s="8" t="s">
        <v>28</v>
      </c>
      <c r="B27" s="3">
        <f aca="true" t="shared" si="12" ref="B27:Z27">$D$3*B16+$D$4*B17</f>
        <v>0.052335956242943835</v>
      </c>
      <c r="C27" s="3">
        <f t="shared" si="12"/>
        <v>0.3090169943749474</v>
      </c>
      <c r="D27" s="3">
        <f t="shared" si="12"/>
        <v>0.544639035015027</v>
      </c>
      <c r="E27" s="3">
        <f t="shared" si="12"/>
        <v>0.7431448254773941</v>
      </c>
      <c r="F27" s="3">
        <f t="shared" si="12"/>
        <v>0.8910065241883678</v>
      </c>
      <c r="G27" s="3">
        <f t="shared" si="12"/>
        <v>0.9781476007338056</v>
      </c>
      <c r="H27" s="3">
        <f t="shared" si="12"/>
        <v>0.9986295347545738</v>
      </c>
      <c r="I27" s="3">
        <f t="shared" si="12"/>
        <v>0.9510565162951535</v>
      </c>
      <c r="J27" s="3">
        <f t="shared" si="12"/>
        <v>0.838670567945424</v>
      </c>
      <c r="K27" s="3">
        <f t="shared" si="12"/>
        <v>0.6691306063588582</v>
      </c>
      <c r="L27" s="3">
        <f t="shared" si="12"/>
        <v>0.4539904997395467</v>
      </c>
      <c r="M27" s="3">
        <f t="shared" si="12"/>
        <v>0.20791169081775962</v>
      </c>
      <c r="N27" s="3">
        <f t="shared" si="12"/>
        <v>-0.05233595624294371</v>
      </c>
      <c r="O27" s="3">
        <f t="shared" si="12"/>
        <v>-0.30901699437494745</v>
      </c>
      <c r="P27" s="3">
        <f t="shared" si="12"/>
        <v>-0.5446390350150272</v>
      </c>
      <c r="Q27" s="3">
        <f t="shared" si="12"/>
        <v>-0.7431448254773941</v>
      </c>
      <c r="R27" s="3">
        <f t="shared" si="12"/>
        <v>-0.8910065241883676</v>
      </c>
      <c r="S27" s="3">
        <f t="shared" si="12"/>
        <v>-0.9781476007338056</v>
      </c>
      <c r="T27" s="3">
        <f t="shared" si="12"/>
        <v>-0.9986295347545738</v>
      </c>
      <c r="U27" s="3">
        <f t="shared" si="12"/>
        <v>-0.9510565162951536</v>
      </c>
      <c r="V27" s="3">
        <f t="shared" si="12"/>
        <v>-0.8386705679454238</v>
      </c>
      <c r="W27" s="3">
        <f t="shared" si="12"/>
        <v>-0.6691306063588583</v>
      </c>
      <c r="X27" s="3">
        <f t="shared" si="12"/>
        <v>-0.45399049973954725</v>
      </c>
      <c r="Y27" s="3">
        <f t="shared" si="12"/>
        <v>-0.20791169081775926</v>
      </c>
      <c r="Z27" s="3">
        <f t="shared" si="12"/>
        <v>0.05233595624294359</v>
      </c>
    </row>
    <row r="28" spans="1:26" ht="12.75">
      <c r="A28" s="8" t="s">
        <v>29</v>
      </c>
      <c r="B28" s="3">
        <f aca="true" t="shared" si="13" ref="B28:Z28">-B20*B27</f>
        <v>-0.052335956242943835</v>
      </c>
      <c r="C28" s="3">
        <f t="shared" si="13"/>
        <v>-0.3090169943749474</v>
      </c>
      <c r="D28" s="3">
        <f t="shared" si="13"/>
        <v>-0.544639035015027</v>
      </c>
      <c r="E28" s="3">
        <f t="shared" si="13"/>
        <v>-0.7431448254773941</v>
      </c>
      <c r="F28" s="3">
        <f t="shared" si="13"/>
        <v>-0.8910065241883678</v>
      </c>
      <c r="G28" s="3">
        <f t="shared" si="13"/>
        <v>-0.9781476007338056</v>
      </c>
      <c r="H28" s="3">
        <f t="shared" si="13"/>
        <v>-0.9986295347545738</v>
      </c>
      <c r="I28" s="3">
        <f t="shared" si="13"/>
        <v>-0.9510565162951535</v>
      </c>
      <c r="J28" s="3">
        <f t="shared" si="13"/>
        <v>-0.838670567945424</v>
      </c>
      <c r="K28" s="3">
        <f t="shared" si="13"/>
        <v>-0.6691306063588582</v>
      </c>
      <c r="L28" s="3">
        <f t="shared" si="13"/>
        <v>-0.4539904997395467</v>
      </c>
      <c r="M28" s="3">
        <f t="shared" si="13"/>
        <v>-0.20791169081775962</v>
      </c>
      <c r="N28" s="3">
        <f t="shared" si="13"/>
        <v>0.05233595624294371</v>
      </c>
      <c r="O28" s="3">
        <f t="shared" si="13"/>
        <v>0.30901699437494745</v>
      </c>
      <c r="P28" s="3">
        <f t="shared" si="13"/>
        <v>0.5446390350150272</v>
      </c>
      <c r="Q28" s="3">
        <f t="shared" si="13"/>
        <v>0.7431448254773941</v>
      </c>
      <c r="R28" s="3">
        <f t="shared" si="13"/>
        <v>0.8910065241883676</v>
      </c>
      <c r="S28" s="3">
        <f t="shared" si="13"/>
        <v>0.9781476007338056</v>
      </c>
      <c r="T28" s="3">
        <f t="shared" si="13"/>
        <v>0.9986295347545738</v>
      </c>
      <c r="U28" s="3">
        <f t="shared" si="13"/>
        <v>0.9510565162951536</v>
      </c>
      <c r="V28" s="3">
        <f t="shared" si="13"/>
        <v>0.8386705679454238</v>
      </c>
      <c r="W28" s="3">
        <f t="shared" si="13"/>
        <v>0.6691306063588583</v>
      </c>
      <c r="X28" s="3">
        <f t="shared" si="13"/>
        <v>0.45399049973954725</v>
      </c>
      <c r="Y28" s="3">
        <f t="shared" si="13"/>
        <v>0.20791169081775926</v>
      </c>
      <c r="Z28" s="3">
        <f t="shared" si="13"/>
        <v>-0.05233595624294359</v>
      </c>
    </row>
    <row r="29" spans="1:26" ht="12.75">
      <c r="A29" s="8" t="s">
        <v>30</v>
      </c>
      <c r="B29" s="3">
        <f aca="true" t="shared" si="14" ref="B29:Z29">B20*B26</f>
        <v>0.9986295347545738</v>
      </c>
      <c r="C29" s="3">
        <f t="shared" si="14"/>
        <v>0.9510565162951535</v>
      </c>
      <c r="D29" s="3">
        <f t="shared" si="14"/>
        <v>0.838670567945424</v>
      </c>
      <c r="E29" s="3">
        <f t="shared" si="14"/>
        <v>0.6691306063588582</v>
      </c>
      <c r="F29" s="3">
        <f t="shared" si="14"/>
        <v>0.45399049973954686</v>
      </c>
      <c r="G29" s="3">
        <f t="shared" si="14"/>
        <v>0.20791169081775931</v>
      </c>
      <c r="H29" s="3">
        <f t="shared" si="14"/>
        <v>-0.05233595624294377</v>
      </c>
      <c r="I29" s="3">
        <f t="shared" si="14"/>
        <v>-0.3090169943749475</v>
      </c>
      <c r="J29" s="3">
        <f t="shared" si="14"/>
        <v>-0.5446390350150269</v>
      </c>
      <c r="K29" s="3">
        <f t="shared" si="14"/>
        <v>-0.7431448254773941</v>
      </c>
      <c r="L29" s="3">
        <f t="shared" si="14"/>
        <v>-0.8910065241883678</v>
      </c>
      <c r="M29" s="3">
        <f t="shared" si="14"/>
        <v>-0.9781476007338055</v>
      </c>
      <c r="N29" s="3">
        <f t="shared" si="14"/>
        <v>-0.9986295347545738</v>
      </c>
      <c r="O29" s="3">
        <f t="shared" si="14"/>
        <v>-0.9510565162951535</v>
      </c>
      <c r="P29" s="3">
        <f t="shared" si="14"/>
        <v>-0.8386705679454238</v>
      </c>
      <c r="Q29" s="3">
        <f t="shared" si="14"/>
        <v>-0.6691306063588583</v>
      </c>
      <c r="R29" s="3">
        <f t="shared" si="14"/>
        <v>-0.45399049973954725</v>
      </c>
      <c r="S29" s="3">
        <f t="shared" si="14"/>
        <v>-0.2079116908177592</v>
      </c>
      <c r="T29" s="3">
        <f t="shared" si="14"/>
        <v>0.052335956242943654</v>
      </c>
      <c r="U29" s="3">
        <f t="shared" si="14"/>
        <v>0.309016994374947</v>
      </c>
      <c r="V29" s="3">
        <f t="shared" si="14"/>
        <v>0.5446390350150272</v>
      </c>
      <c r="W29" s="3">
        <f t="shared" si="14"/>
        <v>0.743144825477394</v>
      </c>
      <c r="X29" s="3">
        <f t="shared" si="14"/>
        <v>0.8910065241883676</v>
      </c>
      <c r="Y29" s="3">
        <f t="shared" si="14"/>
        <v>0.9781476007338056</v>
      </c>
      <c r="Z29" s="3">
        <f t="shared" si="14"/>
        <v>0.9986295347545738</v>
      </c>
    </row>
    <row r="30" spans="1:26" ht="12.75">
      <c r="A30" s="8" t="s">
        <v>31</v>
      </c>
      <c r="B30" s="3">
        <f aca="true" t="shared" si="15" ref="B30:Z30">-B20*B29-B19*B27</f>
        <v>-0.9986295347545738</v>
      </c>
      <c r="C30" s="3">
        <f t="shared" si="15"/>
        <v>-0.9510565162951535</v>
      </c>
      <c r="D30" s="3">
        <f t="shared" si="15"/>
        <v>-0.838670567945424</v>
      </c>
      <c r="E30" s="3">
        <f t="shared" si="15"/>
        <v>-0.6691306063588582</v>
      </c>
      <c r="F30" s="3">
        <f t="shared" si="15"/>
        <v>-0.45399049973954686</v>
      </c>
      <c r="G30" s="3">
        <f t="shared" si="15"/>
        <v>-0.20791169081775931</v>
      </c>
      <c r="H30" s="3">
        <f t="shared" si="15"/>
        <v>0.05233595624294377</v>
      </c>
      <c r="I30" s="3">
        <f t="shared" si="15"/>
        <v>0.3090169943749475</v>
      </c>
      <c r="J30" s="3">
        <f t="shared" si="15"/>
        <v>0.5446390350150269</v>
      </c>
      <c r="K30" s="3">
        <f t="shared" si="15"/>
        <v>0.7431448254773941</v>
      </c>
      <c r="L30" s="3">
        <f t="shared" si="15"/>
        <v>0.8910065241883678</v>
      </c>
      <c r="M30" s="3">
        <f t="shared" si="15"/>
        <v>0.9781476007338055</v>
      </c>
      <c r="N30" s="3">
        <f t="shared" si="15"/>
        <v>0.9986295347545738</v>
      </c>
      <c r="O30" s="3">
        <f t="shared" si="15"/>
        <v>0.9510565162951535</v>
      </c>
      <c r="P30" s="3">
        <f t="shared" si="15"/>
        <v>0.8386705679454238</v>
      </c>
      <c r="Q30" s="3">
        <f t="shared" si="15"/>
        <v>0.6691306063588583</v>
      </c>
      <c r="R30" s="3">
        <f t="shared" si="15"/>
        <v>0.45399049973954725</v>
      </c>
      <c r="S30" s="3">
        <f t="shared" si="15"/>
        <v>0.2079116908177592</v>
      </c>
      <c r="T30" s="3">
        <f t="shared" si="15"/>
        <v>-0.052335956242943654</v>
      </c>
      <c r="U30" s="3">
        <f t="shared" si="15"/>
        <v>-0.309016994374947</v>
      </c>
      <c r="V30" s="3">
        <f t="shared" si="15"/>
        <v>-0.5446390350150272</v>
      </c>
      <c r="W30" s="3">
        <f t="shared" si="15"/>
        <v>-0.743144825477394</v>
      </c>
      <c r="X30" s="3">
        <f t="shared" si="15"/>
        <v>-0.8910065241883676</v>
      </c>
      <c r="Y30" s="3">
        <f t="shared" si="15"/>
        <v>-0.9781476007338056</v>
      </c>
      <c r="Z30" s="3">
        <f t="shared" si="15"/>
        <v>-0.9986295347545738</v>
      </c>
    </row>
    <row r="31" spans="1:26" ht="12.75">
      <c r="A31" s="8" t="s">
        <v>32</v>
      </c>
      <c r="B31" s="3">
        <f aca="true" t="shared" si="16" ref="B31:Z31">B20*B28+B19*B26</f>
        <v>-0.052335956242943835</v>
      </c>
      <c r="C31" s="3">
        <f t="shared" si="16"/>
        <v>-0.3090169943749474</v>
      </c>
      <c r="D31" s="3">
        <f t="shared" si="16"/>
        <v>-0.544639035015027</v>
      </c>
      <c r="E31" s="3">
        <f t="shared" si="16"/>
        <v>-0.7431448254773941</v>
      </c>
      <c r="F31" s="3">
        <f t="shared" si="16"/>
        <v>-0.8910065241883678</v>
      </c>
      <c r="G31" s="3">
        <f t="shared" si="16"/>
        <v>-0.9781476007338056</v>
      </c>
      <c r="H31" s="3">
        <f t="shared" si="16"/>
        <v>-0.9986295347545738</v>
      </c>
      <c r="I31" s="3">
        <f t="shared" si="16"/>
        <v>-0.9510565162951535</v>
      </c>
      <c r="J31" s="3">
        <f t="shared" si="16"/>
        <v>-0.838670567945424</v>
      </c>
      <c r="K31" s="3">
        <f t="shared" si="16"/>
        <v>-0.6691306063588582</v>
      </c>
      <c r="L31" s="3">
        <f t="shared" si="16"/>
        <v>-0.4539904997395467</v>
      </c>
      <c r="M31" s="3">
        <f t="shared" si="16"/>
        <v>-0.20791169081775962</v>
      </c>
      <c r="N31" s="3">
        <f t="shared" si="16"/>
        <v>0.05233595624294371</v>
      </c>
      <c r="O31" s="3">
        <f t="shared" si="16"/>
        <v>0.30901699437494745</v>
      </c>
      <c r="P31" s="3">
        <f t="shared" si="16"/>
        <v>0.5446390350150272</v>
      </c>
      <c r="Q31" s="3">
        <f t="shared" si="16"/>
        <v>0.7431448254773941</v>
      </c>
      <c r="R31" s="3">
        <f t="shared" si="16"/>
        <v>0.8910065241883676</v>
      </c>
      <c r="S31" s="3">
        <f t="shared" si="16"/>
        <v>0.9781476007338056</v>
      </c>
      <c r="T31" s="3">
        <f t="shared" si="16"/>
        <v>0.9986295347545738</v>
      </c>
      <c r="U31" s="3">
        <f t="shared" si="16"/>
        <v>0.9510565162951536</v>
      </c>
      <c r="V31" s="3">
        <f t="shared" si="16"/>
        <v>0.8386705679454238</v>
      </c>
      <c r="W31" s="3">
        <f t="shared" si="16"/>
        <v>0.6691306063588583</v>
      </c>
      <c r="X31" s="3">
        <f t="shared" si="16"/>
        <v>0.45399049973954725</v>
      </c>
      <c r="Y31" s="3">
        <f t="shared" si="16"/>
        <v>0.20791169081775926</v>
      </c>
      <c r="Z31" s="3">
        <f t="shared" si="16"/>
        <v>-0.05233595624294359</v>
      </c>
    </row>
    <row r="32" ht="12.75">
      <c r="A32" s="8" t="s">
        <v>79</v>
      </c>
    </row>
    <row r="33" spans="1:2" ht="12.75">
      <c r="A33" s="8" t="s">
        <v>92</v>
      </c>
      <c r="B33" s="3">
        <v>0</v>
      </c>
    </row>
    <row r="34" spans="1:2" ht="12.75">
      <c r="A34" s="8" t="s">
        <v>93</v>
      </c>
      <c r="B34" s="3">
        <v>0</v>
      </c>
    </row>
    <row r="35" ht="12.75">
      <c r="A35" s="8" t="s">
        <v>80</v>
      </c>
    </row>
    <row r="36" spans="1:2" ht="12.75">
      <c r="A36" s="8" t="s">
        <v>94</v>
      </c>
      <c r="B36" s="3">
        <v>0</v>
      </c>
    </row>
    <row r="37" spans="1:2" ht="12.75">
      <c r="A37" s="8" t="s">
        <v>93</v>
      </c>
      <c r="B37" s="3">
        <v>0</v>
      </c>
    </row>
    <row r="38" ht="12.75">
      <c r="A38" s="8"/>
    </row>
    <row r="39" ht="12.75">
      <c r="A39" s="3" t="s">
        <v>81</v>
      </c>
    </row>
    <row r="40" spans="1:26" ht="12.75">
      <c r="A40" s="8" t="s">
        <v>33</v>
      </c>
      <c r="B40" s="3">
        <f aca="true" t="shared" si="17" ref="B40:Z40">$D$6*B17-$D$7*B16</f>
        <v>0.5</v>
      </c>
      <c r="C40" s="3">
        <f t="shared" si="17"/>
        <v>0.48076295126116275</v>
      </c>
      <c r="D40" s="3">
        <f t="shared" si="17"/>
        <v>0.4287627018922194</v>
      </c>
      <c r="E40" s="3">
        <f t="shared" si="17"/>
        <v>0.34754298295318814</v>
      </c>
      <c r="F40" s="3">
        <f t="shared" si="17"/>
        <v>0.24263878406783232</v>
      </c>
      <c r="G40" s="3">
        <f t="shared" si="17"/>
        <v>0.12119915302780329</v>
      </c>
      <c r="H40" s="3">
        <f t="shared" si="17"/>
        <v>-0.00849999999999997</v>
      </c>
      <c r="I40" s="3">
        <f t="shared" si="17"/>
        <v>-0.1376198920747175</v>
      </c>
      <c r="J40" s="3">
        <f t="shared" si="17"/>
        <v>-0.2573612159321676</v>
      </c>
      <c r="K40" s="3">
        <f t="shared" si="17"/>
        <v>-0.3595637982333594</v>
      </c>
      <c r="L40" s="3">
        <f t="shared" si="17"/>
        <v>-0.43726270189221933</v>
      </c>
      <c r="M40" s="3">
        <f t="shared" si="17"/>
        <v>-0.4851628750279055</v>
      </c>
      <c r="N40" s="3">
        <f t="shared" si="17"/>
        <v>-0.5</v>
      </c>
      <c r="O40" s="3">
        <f t="shared" si="17"/>
        <v>-0.48076295126116275</v>
      </c>
      <c r="P40" s="3">
        <f t="shared" si="17"/>
        <v>-0.4287627018922193</v>
      </c>
      <c r="Q40" s="3">
        <f t="shared" si="17"/>
        <v>-0.3475429829531882</v>
      </c>
      <c r="R40" s="3">
        <f t="shared" si="17"/>
        <v>-0.24263878406783249</v>
      </c>
      <c r="S40" s="3">
        <f t="shared" si="17"/>
        <v>-0.12119915302780324</v>
      </c>
      <c r="T40" s="3">
        <f t="shared" si="17"/>
        <v>0.008499999999999909</v>
      </c>
      <c r="U40" s="3">
        <f t="shared" si="17"/>
        <v>0.13761989207471723</v>
      </c>
      <c r="V40" s="3">
        <f t="shared" si="17"/>
        <v>0.25736121593216776</v>
      </c>
      <c r="W40" s="3">
        <f t="shared" si="17"/>
        <v>0.3595637982333593</v>
      </c>
      <c r="X40" s="3">
        <f t="shared" si="17"/>
        <v>0.43726270189221916</v>
      </c>
      <c r="Y40" s="3">
        <f t="shared" si="17"/>
        <v>0.48516287502790556</v>
      </c>
      <c r="Z40" s="3">
        <f t="shared" si="17"/>
        <v>0.5</v>
      </c>
    </row>
    <row r="41" spans="1:26" ht="12.75">
      <c r="A41" s="8" t="s">
        <v>34</v>
      </c>
      <c r="B41" s="3">
        <f aca="true" t="shared" si="18" ref="B41:Z41">$D$6*B16+$D$7*B17</f>
        <v>0.0085</v>
      </c>
      <c r="C41" s="3">
        <f t="shared" si="18"/>
        <v>0.13761989207471745</v>
      </c>
      <c r="D41" s="3">
        <f t="shared" si="18"/>
        <v>0.2573612159321677</v>
      </c>
      <c r="E41" s="3">
        <f t="shared" si="18"/>
        <v>0.3595637982333594</v>
      </c>
      <c r="F41" s="3">
        <f t="shared" si="18"/>
        <v>0.4372627018922193</v>
      </c>
      <c r="G41" s="3">
        <f t="shared" si="18"/>
        <v>0.48516287502790556</v>
      </c>
      <c r="H41" s="3">
        <f t="shared" si="18"/>
        <v>0.5</v>
      </c>
      <c r="I41" s="3">
        <f t="shared" si="18"/>
        <v>0.48076295126116275</v>
      </c>
      <c r="J41" s="3">
        <f t="shared" si="18"/>
        <v>0.4287627018922194</v>
      </c>
      <c r="K41" s="3">
        <f t="shared" si="18"/>
        <v>0.34754298295318814</v>
      </c>
      <c r="L41" s="3">
        <f t="shared" si="18"/>
        <v>0.24263878406783224</v>
      </c>
      <c r="M41" s="3">
        <f t="shared" si="18"/>
        <v>0.12119915302780343</v>
      </c>
      <c r="N41" s="3">
        <f t="shared" si="18"/>
        <v>-0.00849999999999994</v>
      </c>
      <c r="O41" s="3">
        <f t="shared" si="18"/>
        <v>-0.13761989207471748</v>
      </c>
      <c r="P41" s="3">
        <f t="shared" si="18"/>
        <v>-0.25736121593216776</v>
      </c>
      <c r="Q41" s="3">
        <f t="shared" si="18"/>
        <v>-0.3595637982333594</v>
      </c>
      <c r="R41" s="3">
        <f t="shared" si="18"/>
        <v>-0.43726270189221916</v>
      </c>
      <c r="S41" s="3">
        <f t="shared" si="18"/>
        <v>-0.48516287502790556</v>
      </c>
      <c r="T41" s="3">
        <f t="shared" si="18"/>
        <v>-0.5</v>
      </c>
      <c r="U41" s="3">
        <f t="shared" si="18"/>
        <v>-0.4807629512611628</v>
      </c>
      <c r="V41" s="3">
        <f t="shared" si="18"/>
        <v>-0.4287627018922193</v>
      </c>
      <c r="W41" s="3">
        <f t="shared" si="18"/>
        <v>-0.3475429829531882</v>
      </c>
      <c r="X41" s="3">
        <f t="shared" si="18"/>
        <v>-0.24263878406783249</v>
      </c>
      <c r="Y41" s="3">
        <f t="shared" si="18"/>
        <v>-0.12119915302780326</v>
      </c>
      <c r="Z41" s="3">
        <f t="shared" si="18"/>
        <v>0.008499999999999877</v>
      </c>
    </row>
    <row r="42" spans="1:26" ht="12.75">
      <c r="A42" s="8" t="s">
        <v>35</v>
      </c>
      <c r="B42" s="3">
        <f aca="true" t="shared" si="19" ref="B42:Z42">-B20*B41</f>
        <v>-0.0085</v>
      </c>
      <c r="C42" s="3">
        <f t="shared" si="19"/>
        <v>-0.13761989207471745</v>
      </c>
      <c r="D42" s="3">
        <f t="shared" si="19"/>
        <v>-0.2573612159321677</v>
      </c>
      <c r="E42" s="3">
        <f t="shared" si="19"/>
        <v>-0.3595637982333594</v>
      </c>
      <c r="F42" s="3">
        <f t="shared" si="19"/>
        <v>-0.4372627018922193</v>
      </c>
      <c r="G42" s="3">
        <f t="shared" si="19"/>
        <v>-0.48516287502790556</v>
      </c>
      <c r="H42" s="3">
        <f t="shared" si="19"/>
        <v>-0.5</v>
      </c>
      <c r="I42" s="3">
        <f t="shared" si="19"/>
        <v>-0.48076295126116275</v>
      </c>
      <c r="J42" s="3">
        <f t="shared" si="19"/>
        <v>-0.4287627018922194</v>
      </c>
      <c r="K42" s="3">
        <f t="shared" si="19"/>
        <v>-0.34754298295318814</v>
      </c>
      <c r="L42" s="3">
        <f t="shared" si="19"/>
        <v>-0.24263878406783224</v>
      </c>
      <c r="M42" s="3">
        <f t="shared" si="19"/>
        <v>-0.12119915302780343</v>
      </c>
      <c r="N42" s="3">
        <f t="shared" si="19"/>
        <v>0.00849999999999994</v>
      </c>
      <c r="O42" s="3">
        <f t="shared" si="19"/>
        <v>0.13761989207471748</v>
      </c>
      <c r="P42" s="3">
        <f t="shared" si="19"/>
        <v>0.25736121593216776</v>
      </c>
      <c r="Q42" s="3">
        <f t="shared" si="19"/>
        <v>0.3595637982333594</v>
      </c>
      <c r="R42" s="3">
        <f t="shared" si="19"/>
        <v>0.43726270189221916</v>
      </c>
      <c r="S42" s="3">
        <f t="shared" si="19"/>
        <v>0.48516287502790556</v>
      </c>
      <c r="T42" s="3">
        <f t="shared" si="19"/>
        <v>0.5</v>
      </c>
      <c r="U42" s="3">
        <f t="shared" si="19"/>
        <v>0.4807629512611628</v>
      </c>
      <c r="V42" s="3">
        <f t="shared" si="19"/>
        <v>0.4287627018922193</v>
      </c>
      <c r="W42" s="3">
        <f t="shared" si="19"/>
        <v>0.3475429829531882</v>
      </c>
      <c r="X42" s="3">
        <f t="shared" si="19"/>
        <v>0.24263878406783249</v>
      </c>
      <c r="Y42" s="3">
        <f t="shared" si="19"/>
        <v>0.12119915302780326</v>
      </c>
      <c r="Z42" s="3">
        <f t="shared" si="19"/>
        <v>-0.008499999999999877</v>
      </c>
    </row>
    <row r="43" spans="1:26" ht="12.75">
      <c r="A43" s="8" t="s">
        <v>36</v>
      </c>
      <c r="B43" s="3">
        <f aca="true" t="shared" si="20" ref="B43:Z43">B20*B40</f>
        <v>0.5</v>
      </c>
      <c r="C43" s="3">
        <f t="shared" si="20"/>
        <v>0.48076295126116275</v>
      </c>
      <c r="D43" s="3">
        <f t="shared" si="20"/>
        <v>0.4287627018922194</v>
      </c>
      <c r="E43" s="3">
        <f t="shared" si="20"/>
        <v>0.34754298295318814</v>
      </c>
      <c r="F43" s="3">
        <f t="shared" si="20"/>
        <v>0.24263878406783232</v>
      </c>
      <c r="G43" s="3">
        <f t="shared" si="20"/>
        <v>0.12119915302780329</v>
      </c>
      <c r="H43" s="3">
        <f t="shared" si="20"/>
        <v>-0.00849999999999997</v>
      </c>
      <c r="I43" s="3">
        <f t="shared" si="20"/>
        <v>-0.1376198920747175</v>
      </c>
      <c r="J43" s="3">
        <f t="shared" si="20"/>
        <v>-0.2573612159321676</v>
      </c>
      <c r="K43" s="3">
        <f t="shared" si="20"/>
        <v>-0.3595637982333594</v>
      </c>
      <c r="L43" s="3">
        <f t="shared" si="20"/>
        <v>-0.43726270189221933</v>
      </c>
      <c r="M43" s="3">
        <f t="shared" si="20"/>
        <v>-0.4851628750279055</v>
      </c>
      <c r="N43" s="3">
        <f t="shared" si="20"/>
        <v>-0.5</v>
      </c>
      <c r="O43" s="3">
        <f t="shared" si="20"/>
        <v>-0.48076295126116275</v>
      </c>
      <c r="P43" s="3">
        <f t="shared" si="20"/>
        <v>-0.4287627018922193</v>
      </c>
      <c r="Q43" s="3">
        <f t="shared" si="20"/>
        <v>-0.3475429829531882</v>
      </c>
      <c r="R43" s="3">
        <f t="shared" si="20"/>
        <v>-0.24263878406783249</v>
      </c>
      <c r="S43" s="3">
        <f t="shared" si="20"/>
        <v>-0.12119915302780324</v>
      </c>
      <c r="T43" s="3">
        <f t="shared" si="20"/>
        <v>0.008499999999999909</v>
      </c>
      <c r="U43" s="3">
        <f t="shared" si="20"/>
        <v>0.13761989207471723</v>
      </c>
      <c r="V43" s="3">
        <f t="shared" si="20"/>
        <v>0.25736121593216776</v>
      </c>
      <c r="W43" s="3">
        <f t="shared" si="20"/>
        <v>0.3595637982333593</v>
      </c>
      <c r="X43" s="3">
        <f t="shared" si="20"/>
        <v>0.43726270189221916</v>
      </c>
      <c r="Y43" s="3">
        <f t="shared" si="20"/>
        <v>0.48516287502790556</v>
      </c>
      <c r="Z43" s="3">
        <f t="shared" si="20"/>
        <v>0.5</v>
      </c>
    </row>
    <row r="44" spans="1:26" ht="12.75">
      <c r="A44" s="8" t="s">
        <v>37</v>
      </c>
      <c r="B44" s="3">
        <f aca="true" t="shared" si="21" ref="B44:Z44">-B20*B43-B19*B41</f>
        <v>-0.5</v>
      </c>
      <c r="C44" s="3">
        <f t="shared" si="21"/>
        <v>-0.48076295126116275</v>
      </c>
      <c r="D44" s="3">
        <f t="shared" si="21"/>
        <v>-0.4287627018922194</v>
      </c>
      <c r="E44" s="3">
        <f t="shared" si="21"/>
        <v>-0.34754298295318814</v>
      </c>
      <c r="F44" s="3">
        <f t="shared" si="21"/>
        <v>-0.24263878406783232</v>
      </c>
      <c r="G44" s="3">
        <f t="shared" si="21"/>
        <v>-0.12119915302780329</v>
      </c>
      <c r="H44" s="3">
        <f t="shared" si="21"/>
        <v>0.00849999999999997</v>
      </c>
      <c r="I44" s="3">
        <f t="shared" si="21"/>
        <v>0.1376198920747175</v>
      </c>
      <c r="J44" s="3">
        <f t="shared" si="21"/>
        <v>0.2573612159321676</v>
      </c>
      <c r="K44" s="3">
        <f t="shared" si="21"/>
        <v>0.3595637982333594</v>
      </c>
      <c r="L44" s="3">
        <f t="shared" si="21"/>
        <v>0.43726270189221933</v>
      </c>
      <c r="M44" s="3">
        <f t="shared" si="21"/>
        <v>0.4851628750279055</v>
      </c>
      <c r="N44" s="3">
        <f t="shared" si="21"/>
        <v>0.5</v>
      </c>
      <c r="O44" s="3">
        <f t="shared" si="21"/>
        <v>0.48076295126116275</v>
      </c>
      <c r="P44" s="3">
        <f t="shared" si="21"/>
        <v>0.4287627018922193</v>
      </c>
      <c r="Q44" s="3">
        <f t="shared" si="21"/>
        <v>0.3475429829531882</v>
      </c>
      <c r="R44" s="3">
        <f t="shared" si="21"/>
        <v>0.24263878406783249</v>
      </c>
      <c r="S44" s="3">
        <f t="shared" si="21"/>
        <v>0.12119915302780324</v>
      </c>
      <c r="T44" s="3">
        <f t="shared" si="21"/>
        <v>-0.008499999999999909</v>
      </c>
      <c r="U44" s="3">
        <f t="shared" si="21"/>
        <v>-0.13761989207471723</v>
      </c>
      <c r="V44" s="3">
        <f t="shared" si="21"/>
        <v>-0.25736121593216776</v>
      </c>
      <c r="W44" s="3">
        <f t="shared" si="21"/>
        <v>-0.3595637982333593</v>
      </c>
      <c r="X44" s="3">
        <f t="shared" si="21"/>
        <v>-0.43726270189221916</v>
      </c>
      <c r="Y44" s="3">
        <f t="shared" si="21"/>
        <v>-0.48516287502790556</v>
      </c>
      <c r="Z44" s="3">
        <f t="shared" si="21"/>
        <v>-0.5</v>
      </c>
    </row>
    <row r="45" spans="1:26" ht="12.75">
      <c r="A45" s="8" t="s">
        <v>38</v>
      </c>
      <c r="B45" s="3">
        <f aca="true" t="shared" si="22" ref="B45:Z45">B20*B42+B19*B40</f>
        <v>-0.0085</v>
      </c>
      <c r="C45" s="3">
        <f t="shared" si="22"/>
        <v>-0.13761989207471745</v>
      </c>
      <c r="D45" s="3">
        <f t="shared" si="22"/>
        <v>-0.2573612159321677</v>
      </c>
      <c r="E45" s="3">
        <f t="shared" si="22"/>
        <v>-0.3595637982333594</v>
      </c>
      <c r="F45" s="3">
        <f t="shared" si="22"/>
        <v>-0.4372627018922193</v>
      </c>
      <c r="G45" s="3">
        <f t="shared" si="22"/>
        <v>-0.48516287502790556</v>
      </c>
      <c r="H45" s="3">
        <f t="shared" si="22"/>
        <v>-0.5</v>
      </c>
      <c r="I45" s="3">
        <f t="shared" si="22"/>
        <v>-0.48076295126116275</v>
      </c>
      <c r="J45" s="3">
        <f t="shared" si="22"/>
        <v>-0.4287627018922194</v>
      </c>
      <c r="K45" s="3">
        <f t="shared" si="22"/>
        <v>-0.34754298295318814</v>
      </c>
      <c r="L45" s="3">
        <f t="shared" si="22"/>
        <v>-0.24263878406783224</v>
      </c>
      <c r="M45" s="3">
        <f t="shared" si="22"/>
        <v>-0.12119915302780343</v>
      </c>
      <c r="N45" s="3">
        <f t="shared" si="22"/>
        <v>0.00849999999999994</v>
      </c>
      <c r="O45" s="3">
        <f t="shared" si="22"/>
        <v>0.13761989207471748</v>
      </c>
      <c r="P45" s="3">
        <f t="shared" si="22"/>
        <v>0.25736121593216776</v>
      </c>
      <c r="Q45" s="3">
        <f t="shared" si="22"/>
        <v>0.3595637982333594</v>
      </c>
      <c r="R45" s="3">
        <f t="shared" si="22"/>
        <v>0.43726270189221916</v>
      </c>
      <c r="S45" s="3">
        <f t="shared" si="22"/>
        <v>0.48516287502790556</v>
      </c>
      <c r="T45" s="3">
        <f t="shared" si="22"/>
        <v>0.5</v>
      </c>
      <c r="U45" s="3">
        <f t="shared" si="22"/>
        <v>0.4807629512611628</v>
      </c>
      <c r="V45" s="3">
        <f t="shared" si="22"/>
        <v>0.4287627018922193</v>
      </c>
      <c r="W45" s="3">
        <f t="shared" si="22"/>
        <v>0.3475429829531882</v>
      </c>
      <c r="X45" s="3">
        <f t="shared" si="22"/>
        <v>0.24263878406783249</v>
      </c>
      <c r="Y45" s="3">
        <f t="shared" si="22"/>
        <v>0.12119915302780326</v>
      </c>
      <c r="Z45" s="3">
        <f t="shared" si="22"/>
        <v>-0.008499999999999877</v>
      </c>
    </row>
    <row r="46" spans="1:26" ht="12.75">
      <c r="A46" s="12" t="s">
        <v>156</v>
      </c>
      <c r="B46" s="3">
        <f aca="true" t="shared" si="23" ref="B46:Z46">0.5*$L$3*(B42^2+B43^2)+0.5*$J$3*B20^2</f>
        <v>0.625036125</v>
      </c>
      <c r="C46" s="3">
        <f t="shared" si="23"/>
        <v>0.625036125</v>
      </c>
      <c r="D46" s="3">
        <f t="shared" si="23"/>
        <v>0.625036125</v>
      </c>
      <c r="E46" s="3">
        <f t="shared" si="23"/>
        <v>0.625036125</v>
      </c>
      <c r="F46" s="3">
        <f t="shared" si="23"/>
        <v>0.625036125</v>
      </c>
      <c r="G46" s="3">
        <f t="shared" si="23"/>
        <v>0.625036125</v>
      </c>
      <c r="H46" s="3">
        <f t="shared" si="23"/>
        <v>0.625036125</v>
      </c>
      <c r="I46" s="3">
        <f t="shared" si="23"/>
        <v>0.625036125</v>
      </c>
      <c r="J46" s="3">
        <f t="shared" si="23"/>
        <v>0.625036125</v>
      </c>
      <c r="K46" s="3">
        <f t="shared" si="23"/>
        <v>0.625036125</v>
      </c>
      <c r="L46" s="3">
        <f t="shared" si="23"/>
        <v>0.625036125</v>
      </c>
      <c r="M46" s="3">
        <f t="shared" si="23"/>
        <v>0.625036125</v>
      </c>
      <c r="N46" s="3">
        <f t="shared" si="23"/>
        <v>0.625036125</v>
      </c>
      <c r="O46" s="3">
        <f t="shared" si="23"/>
        <v>0.625036125</v>
      </c>
      <c r="P46" s="3">
        <f t="shared" si="23"/>
        <v>0.625036125</v>
      </c>
      <c r="Q46" s="3">
        <f t="shared" si="23"/>
        <v>0.625036125</v>
      </c>
      <c r="R46" s="3">
        <f t="shared" si="23"/>
        <v>0.6250361249999999</v>
      </c>
      <c r="S46" s="3">
        <f t="shared" si="23"/>
        <v>0.625036125</v>
      </c>
      <c r="T46" s="3">
        <f t="shared" si="23"/>
        <v>0.625036125</v>
      </c>
      <c r="U46" s="3">
        <f t="shared" si="23"/>
        <v>0.625036125</v>
      </c>
      <c r="V46" s="3">
        <f t="shared" si="23"/>
        <v>0.625036125</v>
      </c>
      <c r="W46" s="3">
        <f t="shared" si="23"/>
        <v>0.625036125</v>
      </c>
      <c r="X46" s="3">
        <f t="shared" si="23"/>
        <v>0.6250361249999999</v>
      </c>
      <c r="Y46" s="3">
        <f t="shared" si="23"/>
        <v>0.625036125</v>
      </c>
      <c r="Z46" s="3">
        <f t="shared" si="23"/>
        <v>0.625036125</v>
      </c>
    </row>
    <row r="47" spans="1:26" ht="12.75">
      <c r="A47" s="8" t="s">
        <v>132</v>
      </c>
      <c r="B47" s="3">
        <f aca="true" t="shared" si="24" ref="B47:Z47">$L$3*B44</f>
        <v>-0.5</v>
      </c>
      <c r="C47" s="3">
        <f t="shared" si="24"/>
        <v>-0.48076295126116275</v>
      </c>
      <c r="D47" s="3">
        <f t="shared" si="24"/>
        <v>-0.4287627018922194</v>
      </c>
      <c r="E47" s="3">
        <f t="shared" si="24"/>
        <v>-0.34754298295318814</v>
      </c>
      <c r="F47" s="3">
        <f t="shared" si="24"/>
        <v>-0.24263878406783232</v>
      </c>
      <c r="G47" s="3">
        <f t="shared" si="24"/>
        <v>-0.12119915302780329</v>
      </c>
      <c r="H47" s="3">
        <f t="shared" si="24"/>
        <v>0.00849999999999997</v>
      </c>
      <c r="I47" s="3">
        <f t="shared" si="24"/>
        <v>0.1376198920747175</v>
      </c>
      <c r="J47" s="3">
        <f t="shared" si="24"/>
        <v>0.2573612159321676</v>
      </c>
      <c r="K47" s="3">
        <f t="shared" si="24"/>
        <v>0.3595637982333594</v>
      </c>
      <c r="L47" s="3">
        <f t="shared" si="24"/>
        <v>0.43726270189221933</v>
      </c>
      <c r="M47" s="3">
        <f t="shared" si="24"/>
        <v>0.4851628750279055</v>
      </c>
      <c r="N47" s="3">
        <f t="shared" si="24"/>
        <v>0.5</v>
      </c>
      <c r="O47" s="3">
        <f t="shared" si="24"/>
        <v>0.48076295126116275</v>
      </c>
      <c r="P47" s="3">
        <f t="shared" si="24"/>
        <v>0.4287627018922193</v>
      </c>
      <c r="Q47" s="3">
        <f t="shared" si="24"/>
        <v>0.3475429829531882</v>
      </c>
      <c r="R47" s="3">
        <f t="shared" si="24"/>
        <v>0.24263878406783249</v>
      </c>
      <c r="S47" s="3">
        <f t="shared" si="24"/>
        <v>0.12119915302780324</v>
      </c>
      <c r="T47" s="3">
        <f t="shared" si="24"/>
        <v>-0.008499999999999909</v>
      </c>
      <c r="U47" s="3">
        <f t="shared" si="24"/>
        <v>-0.13761989207471723</v>
      </c>
      <c r="V47" s="3">
        <f t="shared" si="24"/>
        <v>-0.25736121593216776</v>
      </c>
      <c r="W47" s="3">
        <f t="shared" si="24"/>
        <v>-0.3595637982333593</v>
      </c>
      <c r="X47" s="3">
        <f t="shared" si="24"/>
        <v>-0.43726270189221916</v>
      </c>
      <c r="Y47" s="3">
        <f t="shared" si="24"/>
        <v>-0.48516287502790556</v>
      </c>
      <c r="Z47" s="3">
        <f t="shared" si="24"/>
        <v>-0.5</v>
      </c>
    </row>
    <row r="48" spans="1:26" ht="12.75">
      <c r="A48" s="8" t="s">
        <v>133</v>
      </c>
      <c r="B48" s="3">
        <f aca="true" t="shared" si="25" ref="B48:Z48">$L$3*B45</f>
        <v>-0.0085</v>
      </c>
      <c r="C48" s="3">
        <f t="shared" si="25"/>
        <v>-0.13761989207471745</v>
      </c>
      <c r="D48" s="3">
        <f t="shared" si="25"/>
        <v>-0.2573612159321677</v>
      </c>
      <c r="E48" s="3">
        <f t="shared" si="25"/>
        <v>-0.3595637982333594</v>
      </c>
      <c r="F48" s="3">
        <f t="shared" si="25"/>
        <v>-0.4372627018922193</v>
      </c>
      <c r="G48" s="3">
        <f t="shared" si="25"/>
        <v>-0.48516287502790556</v>
      </c>
      <c r="H48" s="3">
        <f t="shared" si="25"/>
        <v>-0.5</v>
      </c>
      <c r="I48" s="3">
        <f t="shared" si="25"/>
        <v>-0.48076295126116275</v>
      </c>
      <c r="J48" s="3">
        <f t="shared" si="25"/>
        <v>-0.4287627018922194</v>
      </c>
      <c r="K48" s="3">
        <f t="shared" si="25"/>
        <v>-0.34754298295318814</v>
      </c>
      <c r="L48" s="3">
        <f t="shared" si="25"/>
        <v>-0.24263878406783224</v>
      </c>
      <c r="M48" s="3">
        <f t="shared" si="25"/>
        <v>-0.12119915302780343</v>
      </c>
      <c r="N48" s="3">
        <f t="shared" si="25"/>
        <v>0.00849999999999994</v>
      </c>
      <c r="O48" s="3">
        <f t="shared" si="25"/>
        <v>0.13761989207471748</v>
      </c>
      <c r="P48" s="3">
        <f t="shared" si="25"/>
        <v>0.25736121593216776</v>
      </c>
      <c r="Q48" s="3">
        <f t="shared" si="25"/>
        <v>0.3595637982333594</v>
      </c>
      <c r="R48" s="3">
        <f t="shared" si="25"/>
        <v>0.43726270189221916</v>
      </c>
      <c r="S48" s="3">
        <f t="shared" si="25"/>
        <v>0.48516287502790556</v>
      </c>
      <c r="T48" s="3">
        <f t="shared" si="25"/>
        <v>0.5</v>
      </c>
      <c r="U48" s="3">
        <f t="shared" si="25"/>
        <v>0.4807629512611628</v>
      </c>
      <c r="V48" s="3">
        <f t="shared" si="25"/>
        <v>0.4287627018922193</v>
      </c>
      <c r="W48" s="3">
        <f t="shared" si="25"/>
        <v>0.3475429829531882</v>
      </c>
      <c r="X48" s="3">
        <f t="shared" si="25"/>
        <v>0.24263878406783249</v>
      </c>
      <c r="Y48" s="3">
        <f t="shared" si="25"/>
        <v>0.12119915302780326</v>
      </c>
      <c r="Z48" s="3">
        <f t="shared" si="25"/>
        <v>-0.008499999999999877</v>
      </c>
    </row>
    <row r="49" spans="1:26" ht="12.75">
      <c r="A49" s="8" t="s">
        <v>134</v>
      </c>
      <c r="B49" s="3">
        <f aca="true" t="shared" si="26" ref="B49:Z49">$J$3*B19</f>
        <v>0</v>
      </c>
      <c r="C49" s="3">
        <f t="shared" si="26"/>
        <v>0</v>
      </c>
      <c r="D49" s="3">
        <f t="shared" si="26"/>
        <v>0</v>
      </c>
      <c r="E49" s="3">
        <f t="shared" si="26"/>
        <v>0</v>
      </c>
      <c r="F49" s="3">
        <f t="shared" si="26"/>
        <v>0</v>
      </c>
      <c r="G49" s="3">
        <f t="shared" si="26"/>
        <v>0</v>
      </c>
      <c r="H49" s="3">
        <f t="shared" si="26"/>
        <v>0</v>
      </c>
      <c r="I49" s="3">
        <f t="shared" si="26"/>
        <v>0</v>
      </c>
      <c r="J49" s="3">
        <f t="shared" si="26"/>
        <v>0</v>
      </c>
      <c r="K49" s="3">
        <f t="shared" si="26"/>
        <v>0</v>
      </c>
      <c r="L49" s="3">
        <f t="shared" si="26"/>
        <v>0</v>
      </c>
      <c r="M49" s="3">
        <f t="shared" si="26"/>
        <v>0</v>
      </c>
      <c r="N49" s="3">
        <f t="shared" si="26"/>
        <v>0</v>
      </c>
      <c r="O49" s="3">
        <f t="shared" si="26"/>
        <v>0</v>
      </c>
      <c r="P49" s="3">
        <f t="shared" si="26"/>
        <v>0</v>
      </c>
      <c r="Q49" s="3">
        <f t="shared" si="26"/>
        <v>0</v>
      </c>
      <c r="R49" s="3">
        <f t="shared" si="26"/>
        <v>0</v>
      </c>
      <c r="S49" s="3">
        <f t="shared" si="26"/>
        <v>0</v>
      </c>
      <c r="T49" s="3">
        <f t="shared" si="26"/>
        <v>0</v>
      </c>
      <c r="U49" s="3">
        <f t="shared" si="26"/>
        <v>0</v>
      </c>
      <c r="V49" s="3">
        <f t="shared" si="26"/>
        <v>0</v>
      </c>
      <c r="W49" s="3">
        <f t="shared" si="26"/>
        <v>0</v>
      </c>
      <c r="X49" s="3">
        <f t="shared" si="26"/>
        <v>0</v>
      </c>
      <c r="Y49" s="3">
        <f t="shared" si="26"/>
        <v>0</v>
      </c>
      <c r="Z49" s="3">
        <f t="shared" si="26"/>
        <v>0</v>
      </c>
    </row>
    <row r="50" spans="1:26" ht="12.75">
      <c r="A50" s="8" t="s">
        <v>135</v>
      </c>
      <c r="B50" s="3">
        <f aca="true" t="shared" si="27" ref="B50:Z50">B47*B42+B48*B43+B49*B20</f>
        <v>0</v>
      </c>
      <c r="C50" s="3">
        <f t="shared" si="27"/>
        <v>0</v>
      </c>
      <c r="D50" s="3">
        <f t="shared" si="27"/>
        <v>0</v>
      </c>
      <c r="E50" s="3">
        <f t="shared" si="27"/>
        <v>0</v>
      </c>
      <c r="F50" s="3">
        <f t="shared" si="27"/>
        <v>0</v>
      </c>
      <c r="G50" s="3">
        <f t="shared" si="27"/>
        <v>0</v>
      </c>
      <c r="H50" s="3">
        <f t="shared" si="27"/>
        <v>0</v>
      </c>
      <c r="I50" s="3">
        <f t="shared" si="27"/>
        <v>0</v>
      </c>
      <c r="J50" s="3">
        <f t="shared" si="27"/>
        <v>0</v>
      </c>
      <c r="K50" s="3">
        <f t="shared" si="27"/>
        <v>0</v>
      </c>
      <c r="L50" s="3">
        <f t="shared" si="27"/>
        <v>0</v>
      </c>
      <c r="M50" s="3">
        <f t="shared" si="27"/>
        <v>0</v>
      </c>
      <c r="N50" s="3">
        <f t="shared" si="27"/>
        <v>0</v>
      </c>
      <c r="O50" s="3">
        <f t="shared" si="27"/>
        <v>0</v>
      </c>
      <c r="P50" s="3">
        <f t="shared" si="27"/>
        <v>0</v>
      </c>
      <c r="Q50" s="3">
        <f t="shared" si="27"/>
        <v>0</v>
      </c>
      <c r="R50" s="3">
        <f t="shared" si="27"/>
        <v>0</v>
      </c>
      <c r="S50" s="3">
        <f t="shared" si="27"/>
        <v>0</v>
      </c>
      <c r="T50" s="3">
        <f t="shared" si="27"/>
        <v>0</v>
      </c>
      <c r="U50" s="3">
        <f t="shared" si="27"/>
        <v>0</v>
      </c>
      <c r="V50" s="3">
        <f t="shared" si="27"/>
        <v>0</v>
      </c>
      <c r="W50" s="3">
        <f t="shared" si="27"/>
        <v>0</v>
      </c>
      <c r="X50" s="3">
        <f t="shared" si="27"/>
        <v>0</v>
      </c>
      <c r="Y50" s="3">
        <f t="shared" si="27"/>
        <v>0</v>
      </c>
      <c r="Z50" s="3">
        <f t="shared" si="27"/>
        <v>0</v>
      </c>
    </row>
    <row r="51" spans="1:26" ht="12.75">
      <c r="A51" s="8" t="s">
        <v>136</v>
      </c>
      <c r="B51" s="3">
        <f aca="true" t="shared" si="28" ref="B51:Z51">$J$10*$L$3*B43</f>
        <v>5</v>
      </c>
      <c r="C51" s="3">
        <f t="shared" si="28"/>
        <v>4.807629512611627</v>
      </c>
      <c r="D51" s="3">
        <f t="shared" si="28"/>
        <v>4.287627018922194</v>
      </c>
      <c r="E51" s="3">
        <f t="shared" si="28"/>
        <v>3.4754298295318815</v>
      </c>
      <c r="F51" s="3">
        <f t="shared" si="28"/>
        <v>2.426387840678323</v>
      </c>
      <c r="G51" s="3">
        <f t="shared" si="28"/>
        <v>1.2119915302780329</v>
      </c>
      <c r="H51" s="3">
        <f t="shared" si="28"/>
        <v>-0.08499999999999969</v>
      </c>
      <c r="I51" s="3">
        <f t="shared" si="28"/>
        <v>-1.376198920747175</v>
      </c>
      <c r="J51" s="3">
        <f t="shared" si="28"/>
        <v>-2.573612159321676</v>
      </c>
      <c r="K51" s="3">
        <f t="shared" si="28"/>
        <v>-3.595637982333594</v>
      </c>
      <c r="L51" s="3">
        <f t="shared" si="28"/>
        <v>-4.372627018922193</v>
      </c>
      <c r="M51" s="3">
        <f t="shared" si="28"/>
        <v>-4.851628750279055</v>
      </c>
      <c r="N51" s="3">
        <f t="shared" si="28"/>
        <v>-5</v>
      </c>
      <c r="O51" s="3">
        <f t="shared" si="28"/>
        <v>-4.807629512611627</v>
      </c>
      <c r="P51" s="3">
        <f t="shared" si="28"/>
        <v>-4.287627018922193</v>
      </c>
      <c r="Q51" s="3">
        <f t="shared" si="28"/>
        <v>-3.475429829531882</v>
      </c>
      <c r="R51" s="3">
        <f t="shared" si="28"/>
        <v>-2.426387840678325</v>
      </c>
      <c r="S51" s="3">
        <f t="shared" si="28"/>
        <v>-1.2119915302780324</v>
      </c>
      <c r="T51" s="3">
        <f t="shared" si="28"/>
        <v>0.08499999999999909</v>
      </c>
      <c r="U51" s="3">
        <f t="shared" si="28"/>
        <v>1.3761989207471723</v>
      </c>
      <c r="V51" s="3">
        <f t="shared" si="28"/>
        <v>2.5736121593216774</v>
      </c>
      <c r="W51" s="3">
        <f t="shared" si="28"/>
        <v>3.595637982333593</v>
      </c>
      <c r="X51" s="3">
        <f t="shared" si="28"/>
        <v>4.372627018922191</v>
      </c>
      <c r="Y51" s="3">
        <f t="shared" si="28"/>
        <v>4.851628750279056</v>
      </c>
      <c r="Z51" s="3">
        <f t="shared" si="28"/>
        <v>5</v>
      </c>
    </row>
    <row r="52" ht="12.75">
      <c r="A52" s="28" t="s">
        <v>154</v>
      </c>
    </row>
    <row r="53" spans="1:26" ht="12.75">
      <c r="A53" s="8" t="s">
        <v>138</v>
      </c>
      <c r="B53" s="3">
        <f aca="true" t="shared" si="29" ref="B53:Z53">B47+B131</f>
        <v>-1.524230959365231</v>
      </c>
      <c r="C53" s="3">
        <f t="shared" si="29"/>
        <v>-1.455300049541176</v>
      </c>
      <c r="D53" s="3">
        <f t="shared" si="29"/>
        <v>-1.2826147262945773</v>
      </c>
      <c r="E53" s="3">
        <f t="shared" si="29"/>
        <v>-1.01970298734245</v>
      </c>
      <c r="F53" s="3">
        <f t="shared" si="29"/>
        <v>-0.6866681669319216</v>
      </c>
      <c r="G53" s="3">
        <f t="shared" si="29"/>
        <v>-0.3083839928406372</v>
      </c>
      <c r="H53" s="3">
        <f t="shared" si="29"/>
        <v>0.08777188669834803</v>
      </c>
      <c r="I53" s="3">
        <f t="shared" si="29"/>
        <v>0.47421758632738165</v>
      </c>
      <c r="J53" s="3">
        <f t="shared" si="29"/>
        <v>0.825081385958294</v>
      </c>
      <c r="K53" s="3">
        <f t="shared" si="29"/>
        <v>1.117660773070666</v>
      </c>
      <c r="L53" s="3">
        <f t="shared" si="29"/>
        <v>1.3335465057341334</v>
      </c>
      <c r="M53" s="3">
        <f t="shared" si="29"/>
        <v>1.4595107780577052</v>
      </c>
      <c r="N53" s="3">
        <f t="shared" si="29"/>
        <v>1.488168980199414</v>
      </c>
      <c r="O53" s="3">
        <f t="shared" si="29"/>
        <v>1.4183582650822224</v>
      </c>
      <c r="P53" s="3">
        <f t="shared" si="29"/>
        <v>1.2551544336388294</v>
      </c>
      <c r="Q53" s="3">
        <f t="shared" si="29"/>
        <v>1.00946871931653</v>
      </c>
      <c r="R53" s="3">
        <f t="shared" si="29"/>
        <v>0.6972247751594921</v>
      </c>
      <c r="S53" s="3">
        <f t="shared" si="29"/>
        <v>0.3382103869039128</v>
      </c>
      <c r="T53" s="3">
        <f t="shared" si="29"/>
        <v>-0.04518848315944042</v>
      </c>
      <c r="U53" s="3">
        <f t="shared" si="29"/>
        <v>-0.42908990790263835</v>
      </c>
      <c r="V53" s="3">
        <f t="shared" si="29"/>
        <v>-0.7888667574287059</v>
      </c>
      <c r="W53" s="3">
        <f t="shared" si="29"/>
        <v>-1.0997572294984308</v>
      </c>
      <c r="X53" s="3">
        <f t="shared" si="29"/>
        <v>-1.338100367794422</v>
      </c>
      <c r="Y53" s="3">
        <f t="shared" si="29"/>
        <v>-1.4839138496154949</v>
      </c>
      <c r="Z53" s="3">
        <f t="shared" si="29"/>
        <v>-1.5242309593652312</v>
      </c>
    </row>
    <row r="54" spans="1:26" ht="12.75">
      <c r="A54" s="8" t="s">
        <v>139</v>
      </c>
      <c r="B54" s="3">
        <f aca="true" t="shared" si="30" ref="B54:Z54">B48+B132+$L$3*$J$10</f>
        <v>34.97150873224659</v>
      </c>
      <c r="C54" s="3">
        <f t="shared" si="30"/>
        <v>35.9666126683277</v>
      </c>
      <c r="D54" s="3">
        <f t="shared" si="30"/>
        <v>36.9958970113821</v>
      </c>
      <c r="E54" s="3">
        <f t="shared" si="30"/>
        <v>37.790313716590695</v>
      </c>
      <c r="F54" s="3">
        <f t="shared" si="30"/>
        <v>38.06725880463383</v>
      </c>
      <c r="G54" s="3">
        <f t="shared" si="30"/>
        <v>37.71662412205096</v>
      </c>
      <c r="H54" s="3">
        <f t="shared" si="30"/>
        <v>36.865240906285464</v>
      </c>
      <c r="I54" s="3">
        <f t="shared" si="30"/>
        <v>35.76686246390521</v>
      </c>
      <c r="J54" s="3">
        <f t="shared" si="30"/>
        <v>34.65708259214323</v>
      </c>
      <c r="K54" s="3">
        <f t="shared" si="30"/>
        <v>33.68504704837143</v>
      </c>
      <c r="L54" s="3">
        <f t="shared" si="30"/>
        <v>32.91585858078391</v>
      </c>
      <c r="M54" s="3">
        <f t="shared" si="30"/>
        <v>32.358349215913485</v>
      </c>
      <c r="N54" s="3">
        <f t="shared" si="30"/>
        <v>31.991289404834564</v>
      </c>
      <c r="O54" s="3">
        <f t="shared" si="30"/>
        <v>31.78121066349249</v>
      </c>
      <c r="P54" s="3">
        <f t="shared" si="30"/>
        <v>31.693128612789735</v>
      </c>
      <c r="Q54" s="3">
        <f t="shared" si="30"/>
        <v>31.69670060900082</v>
      </c>
      <c r="R54" s="3">
        <f t="shared" si="30"/>
        <v>31.769576219943676</v>
      </c>
      <c r="S54" s="3">
        <f t="shared" si="30"/>
        <v>31.898799697275486</v>
      </c>
      <c r="T54" s="3">
        <f t="shared" si="30"/>
        <v>32.08058892564466</v>
      </c>
      <c r="U54" s="3">
        <f t="shared" si="30"/>
        <v>32.31882165744071</v>
      </c>
      <c r="V54" s="3">
        <f t="shared" si="30"/>
        <v>32.623285976448855</v>
      </c>
      <c r="W54" s="3">
        <f t="shared" si="30"/>
        <v>33.00989670909672</v>
      </c>
      <c r="X54" s="3">
        <f t="shared" si="30"/>
        <v>33.50455072890662</v>
      </c>
      <c r="Y54" s="3">
        <f t="shared" si="30"/>
        <v>34.146028703061155</v>
      </c>
      <c r="Z54" s="3">
        <f t="shared" si="30"/>
        <v>34.97150873224659</v>
      </c>
    </row>
    <row r="55" spans="1:26" ht="12.75">
      <c r="A55" s="8" t="s">
        <v>137</v>
      </c>
      <c r="B55" s="3">
        <f aca="true" t="shared" si="31" ref="B55:Z55">B49+B133*B84/B20-B47*B41-B131*B27+(B48+$L$4*$J$10)*B40+B132*B26</f>
        <v>20.55952985665119</v>
      </c>
      <c r="C55" s="3">
        <f t="shared" si="31"/>
        <v>18.502407200653764</v>
      </c>
      <c r="D55" s="3">
        <f t="shared" si="31"/>
        <v>15.201133157025172</v>
      </c>
      <c r="E55" s="3">
        <f t="shared" si="31"/>
        <v>10.925025022691914</v>
      </c>
      <c r="F55" s="3">
        <f t="shared" si="31"/>
        <v>5.9728752561875496</v>
      </c>
      <c r="G55" s="3">
        <f t="shared" si="31"/>
        <v>0.6817021239623617</v>
      </c>
      <c r="H55" s="3">
        <f t="shared" si="31"/>
        <v>-4.587593097900387</v>
      </c>
      <c r="I55" s="3">
        <f t="shared" si="31"/>
        <v>-9.483398165756356</v>
      </c>
      <c r="J55" s="3">
        <f t="shared" si="31"/>
        <v>-13.694514139573101</v>
      </c>
      <c r="K55" s="3">
        <f t="shared" si="31"/>
        <v>-16.96905753250184</v>
      </c>
      <c r="L55" s="3">
        <f t="shared" si="31"/>
        <v>-19.122661542401346</v>
      </c>
      <c r="M55" s="3">
        <f t="shared" si="31"/>
        <v>-20.04092104359164</v>
      </c>
      <c r="N55" s="3">
        <f t="shared" si="31"/>
        <v>-19.67950535918003</v>
      </c>
      <c r="O55" s="3">
        <f t="shared" si="31"/>
        <v>-18.06303507266787</v>
      </c>
      <c r="P55" s="3">
        <f t="shared" si="31"/>
        <v>-15.282442671372923</v>
      </c>
      <c r="Q55" s="3">
        <f t="shared" si="31"/>
        <v>-11.490385280569011</v>
      </c>
      <c r="R55" s="3">
        <f t="shared" si="31"/>
        <v>-6.895086908176427</v>
      </c>
      <c r="S55" s="3">
        <f t="shared" si="31"/>
        <v>-1.7542356303959656</v>
      </c>
      <c r="T55" s="3">
        <f t="shared" si="31"/>
        <v>3.6286978844057547</v>
      </c>
      <c r="U55" s="3">
        <f t="shared" si="31"/>
        <v>8.904871708216701</v>
      </c>
      <c r="V55" s="3">
        <f t="shared" si="31"/>
        <v>13.682474218540364</v>
      </c>
      <c r="W55" s="3">
        <f t="shared" si="31"/>
        <v>17.546779743522777</v>
      </c>
      <c r="X55" s="3">
        <f t="shared" si="31"/>
        <v>20.11765085259153</v>
      </c>
      <c r="Y55" s="3">
        <f t="shared" si="31"/>
        <v>21.140804909960654</v>
      </c>
      <c r="Z55" s="3">
        <f t="shared" si="31"/>
        <v>20.559529856651192</v>
      </c>
    </row>
    <row r="56" spans="1:26" ht="12.75">
      <c r="A56" s="8" t="s">
        <v>121</v>
      </c>
      <c r="B56" s="3">
        <f aca="true" t="shared" si="32" ref="B56:Z56">B50+B51+B134</f>
        <v>20.559529856651192</v>
      </c>
      <c r="C56" s="3">
        <f t="shared" si="32"/>
        <v>18.50240720065377</v>
      </c>
      <c r="D56" s="3">
        <f t="shared" si="32"/>
        <v>15.201133157025176</v>
      </c>
      <c r="E56" s="3">
        <f t="shared" si="32"/>
        <v>10.925025022691916</v>
      </c>
      <c r="F56" s="3">
        <f t="shared" si="32"/>
        <v>5.9728752561875496</v>
      </c>
      <c r="G56" s="3">
        <f t="shared" si="32"/>
        <v>0.6817021239623624</v>
      </c>
      <c r="H56" s="3">
        <f t="shared" si="32"/>
        <v>-4.58759309790039</v>
      </c>
      <c r="I56" s="3">
        <f t="shared" si="32"/>
        <v>-9.483398165756356</v>
      </c>
      <c r="J56" s="3">
        <f t="shared" si="32"/>
        <v>-13.69451413957311</v>
      </c>
      <c r="K56" s="3">
        <f t="shared" si="32"/>
        <v>-16.969057532501836</v>
      </c>
      <c r="L56" s="3">
        <f t="shared" si="32"/>
        <v>-19.12266154240135</v>
      </c>
      <c r="M56" s="3">
        <f t="shared" si="32"/>
        <v>-20.040921043591645</v>
      </c>
      <c r="N56" s="3">
        <f t="shared" si="32"/>
        <v>-19.67950535918003</v>
      </c>
      <c r="O56" s="3">
        <f t="shared" si="32"/>
        <v>-18.063035072667873</v>
      </c>
      <c r="P56" s="3">
        <f t="shared" si="32"/>
        <v>-15.282442671372923</v>
      </c>
      <c r="Q56" s="3">
        <f t="shared" si="32"/>
        <v>-11.490385280569008</v>
      </c>
      <c r="R56" s="3">
        <f t="shared" si="32"/>
        <v>-6.895086908176424</v>
      </c>
      <c r="S56" s="3">
        <f t="shared" si="32"/>
        <v>-1.7542356303959743</v>
      </c>
      <c r="T56" s="3">
        <f t="shared" si="32"/>
        <v>3.6286978844057556</v>
      </c>
      <c r="U56" s="3">
        <f t="shared" si="32"/>
        <v>8.904871708216707</v>
      </c>
      <c r="V56" s="3">
        <f t="shared" si="32"/>
        <v>13.68247421854036</v>
      </c>
      <c r="W56" s="3">
        <f t="shared" si="32"/>
        <v>17.546779743522784</v>
      </c>
      <c r="X56" s="3">
        <f t="shared" si="32"/>
        <v>20.117650852591535</v>
      </c>
      <c r="Y56" s="3">
        <f t="shared" si="32"/>
        <v>21.140804909960657</v>
      </c>
      <c r="Z56" s="3">
        <f t="shared" si="32"/>
        <v>20.559529856651192</v>
      </c>
    </row>
    <row r="57" ht="12.75">
      <c r="A57" s="8"/>
    </row>
    <row r="58" spans="1:3" ht="12.75">
      <c r="A58" s="35" t="s">
        <v>60</v>
      </c>
      <c r="B58" s="35"/>
      <c r="C58" s="35"/>
    </row>
    <row r="59" spans="1:26" ht="12.75">
      <c r="A59" s="8" t="s">
        <v>39</v>
      </c>
      <c r="B59" s="3">
        <f aca="true" t="shared" si="33" ref="B59:Z59">$B$10-$B$6*COS(B14)</f>
        <v>6.6013704652454255</v>
      </c>
      <c r="C59" s="3">
        <f t="shared" si="33"/>
        <v>6.648943483704846</v>
      </c>
      <c r="D59" s="3">
        <f t="shared" si="33"/>
        <v>6.761329432054575</v>
      </c>
      <c r="E59" s="3">
        <f t="shared" si="33"/>
        <v>6.930869393641141</v>
      </c>
      <c r="F59" s="3">
        <f t="shared" si="33"/>
        <v>7.146009500260453</v>
      </c>
      <c r="G59" s="3">
        <f t="shared" si="33"/>
        <v>7.39208830918224</v>
      </c>
      <c r="H59" s="3">
        <f t="shared" si="33"/>
        <v>7.652335956242943</v>
      </c>
      <c r="I59" s="3">
        <f t="shared" si="33"/>
        <v>7.909016994374947</v>
      </c>
      <c r="J59" s="3">
        <f t="shared" si="33"/>
        <v>8.144639035015027</v>
      </c>
      <c r="K59" s="3">
        <f t="shared" si="33"/>
        <v>8.343144825477394</v>
      </c>
      <c r="L59" s="3">
        <f t="shared" si="33"/>
        <v>8.491006524188368</v>
      </c>
      <c r="M59" s="3">
        <f t="shared" si="33"/>
        <v>8.578147600733805</v>
      </c>
      <c r="N59" s="3">
        <f t="shared" si="33"/>
        <v>8.598629534754574</v>
      </c>
      <c r="O59" s="3">
        <f t="shared" si="33"/>
        <v>8.551056516295153</v>
      </c>
      <c r="P59" s="3">
        <f t="shared" si="33"/>
        <v>8.438670567945424</v>
      </c>
      <c r="Q59" s="3">
        <f t="shared" si="33"/>
        <v>8.269130606358857</v>
      </c>
      <c r="R59" s="3">
        <f t="shared" si="33"/>
        <v>8.053990499739546</v>
      </c>
      <c r="S59" s="3">
        <f t="shared" si="33"/>
        <v>7.807911690817759</v>
      </c>
      <c r="T59" s="3">
        <f t="shared" si="33"/>
        <v>7.547664043757056</v>
      </c>
      <c r="U59" s="3">
        <f t="shared" si="33"/>
        <v>7.290983005625052</v>
      </c>
      <c r="V59" s="3">
        <f t="shared" si="33"/>
        <v>7.055360964984973</v>
      </c>
      <c r="W59" s="3">
        <f t="shared" si="33"/>
        <v>6.856855174522606</v>
      </c>
      <c r="X59" s="3">
        <f t="shared" si="33"/>
        <v>6.708993475811631</v>
      </c>
      <c r="Y59" s="3">
        <f t="shared" si="33"/>
        <v>6.621852399266194</v>
      </c>
      <c r="Z59" s="3">
        <f t="shared" si="33"/>
        <v>6.6013704652454255</v>
      </c>
    </row>
    <row r="60" spans="1:26" ht="12.75">
      <c r="A60" s="8" t="s">
        <v>40</v>
      </c>
      <c r="B60" s="3">
        <f aca="true" t="shared" si="34" ref="B60:Z60">$B$11-$B$6*SIN(B14)</f>
        <v>-0.052335956242943835</v>
      </c>
      <c r="C60" s="3">
        <f t="shared" si="34"/>
        <v>-0.3090169943749474</v>
      </c>
      <c r="D60" s="3">
        <f t="shared" si="34"/>
        <v>-0.5446390350150271</v>
      </c>
      <c r="E60" s="3">
        <f t="shared" si="34"/>
        <v>-0.7431448254773942</v>
      </c>
      <c r="F60" s="3">
        <f t="shared" si="34"/>
        <v>-0.8910065241883678</v>
      </c>
      <c r="G60" s="3">
        <f t="shared" si="34"/>
        <v>-0.9781476007338056</v>
      </c>
      <c r="H60" s="3">
        <f t="shared" si="34"/>
        <v>-0.9986295347545738</v>
      </c>
      <c r="I60" s="3">
        <f t="shared" si="34"/>
        <v>-0.9510565162951536</v>
      </c>
      <c r="J60" s="3">
        <f t="shared" si="34"/>
        <v>-0.8386705679454239</v>
      </c>
      <c r="K60" s="3">
        <f t="shared" si="34"/>
        <v>-0.6691306063588583</v>
      </c>
      <c r="L60" s="3">
        <f t="shared" si="34"/>
        <v>-0.45399049973954686</v>
      </c>
      <c r="M60" s="3">
        <f t="shared" si="34"/>
        <v>-0.20791169081775931</v>
      </c>
      <c r="N60" s="3">
        <f t="shared" si="34"/>
        <v>0.05233595624294356</v>
      </c>
      <c r="O60" s="3">
        <f t="shared" si="34"/>
        <v>0.3090169943749473</v>
      </c>
      <c r="P60" s="3">
        <f t="shared" si="34"/>
        <v>0.5446390350150271</v>
      </c>
      <c r="Q60" s="3">
        <f t="shared" si="34"/>
        <v>0.7431448254773944</v>
      </c>
      <c r="R60" s="3">
        <f t="shared" si="34"/>
        <v>0.8910065241883678</v>
      </c>
      <c r="S60" s="3">
        <f t="shared" si="34"/>
        <v>0.9781476007338056</v>
      </c>
      <c r="T60" s="3">
        <f t="shared" si="34"/>
        <v>0.9986295347545738</v>
      </c>
      <c r="U60" s="3">
        <f t="shared" si="34"/>
        <v>0.9510565162951536</v>
      </c>
      <c r="V60" s="3">
        <f t="shared" si="34"/>
        <v>0.8386705679454243</v>
      </c>
      <c r="W60" s="3">
        <f t="shared" si="34"/>
        <v>0.6691306063588581</v>
      </c>
      <c r="X60" s="3">
        <f t="shared" si="34"/>
        <v>0.45399049973954697</v>
      </c>
      <c r="Y60" s="3">
        <f t="shared" si="34"/>
        <v>0.20791169081775987</v>
      </c>
      <c r="Z60" s="3">
        <f t="shared" si="34"/>
        <v>-0.05233595624294388</v>
      </c>
    </row>
    <row r="61" spans="1:26" ht="12.75">
      <c r="A61" s="8" t="s">
        <v>41</v>
      </c>
      <c r="B61" s="3">
        <f aca="true" t="shared" si="35" ref="B61:Z61">(B59^2+B60^2+$B$7^2-$B$8^2)/(2*$B$7)</f>
        <v>2.1790415535865235</v>
      </c>
      <c r="C61" s="3">
        <f t="shared" si="35"/>
        <v>2.2151970476156833</v>
      </c>
      <c r="D61" s="3">
        <f t="shared" si="35"/>
        <v>2.3006103683614767</v>
      </c>
      <c r="E61" s="3">
        <f t="shared" si="35"/>
        <v>2.429460739167267</v>
      </c>
      <c r="F61" s="3">
        <f t="shared" si="35"/>
        <v>2.592967220197944</v>
      </c>
      <c r="G61" s="3">
        <f t="shared" si="35"/>
        <v>2.779987114978502</v>
      </c>
      <c r="H61" s="3">
        <f t="shared" si="35"/>
        <v>2.977775326744637</v>
      </c>
      <c r="I61" s="3">
        <f t="shared" si="35"/>
        <v>3.1728529157249596</v>
      </c>
      <c r="J61" s="3">
        <f t="shared" si="35"/>
        <v>3.3519256666114203</v>
      </c>
      <c r="K61" s="3">
        <f t="shared" si="35"/>
        <v>3.502790067362818</v>
      </c>
      <c r="L61" s="3">
        <f t="shared" si="35"/>
        <v>3.61516495838316</v>
      </c>
      <c r="M61" s="3">
        <f t="shared" si="35"/>
        <v>3.681392176557691</v>
      </c>
      <c r="N61" s="3">
        <f t="shared" si="35"/>
        <v>3.6969584464134755</v>
      </c>
      <c r="O61" s="3">
        <f t="shared" si="35"/>
        <v>3.6608029523843157</v>
      </c>
      <c r="P61" s="3">
        <f t="shared" si="35"/>
        <v>3.5753896316385223</v>
      </c>
      <c r="Q61" s="3">
        <f t="shared" si="35"/>
        <v>3.4465392608327305</v>
      </c>
      <c r="R61" s="3">
        <f t="shared" si="35"/>
        <v>3.283032779802055</v>
      </c>
      <c r="S61" s="3">
        <f t="shared" si="35"/>
        <v>3.096012885021497</v>
      </c>
      <c r="T61" s="3">
        <f t="shared" si="35"/>
        <v>2.898224673255362</v>
      </c>
      <c r="U61" s="3">
        <f t="shared" si="35"/>
        <v>2.7031470842750394</v>
      </c>
      <c r="V61" s="3">
        <f t="shared" si="35"/>
        <v>2.5240743333885804</v>
      </c>
      <c r="W61" s="3">
        <f t="shared" si="35"/>
        <v>2.373209932637181</v>
      </c>
      <c r="X61" s="3">
        <f t="shared" si="35"/>
        <v>2.260835041616841</v>
      </c>
      <c r="Y61" s="3">
        <f t="shared" si="35"/>
        <v>2.1946078234423085</v>
      </c>
      <c r="Z61" s="3">
        <f t="shared" si="35"/>
        <v>2.1790415535865235</v>
      </c>
    </row>
    <row r="62" spans="1:26" ht="12.75">
      <c r="A62" s="8" t="s">
        <v>61</v>
      </c>
      <c r="B62" s="3">
        <f aca="true" t="shared" si="36" ref="B62:Z62">B59^2+B60^2-B61^2</f>
        <v>38.8326089794737</v>
      </c>
      <c r="C62" s="3">
        <f t="shared" si="36"/>
        <v>39.39684299254842</v>
      </c>
      <c r="D62" s="3">
        <f t="shared" si="36"/>
        <v>40.71939930021721</v>
      </c>
      <c r="E62" s="3">
        <f t="shared" si="36"/>
        <v>42.686935300190186</v>
      </c>
      <c r="F62" s="3">
        <f t="shared" si="36"/>
        <v>45.13586539893783</v>
      </c>
      <c r="G62" s="3">
        <f t="shared" si="36"/>
        <v>47.87141394012355</v>
      </c>
      <c r="H62" s="3">
        <f t="shared" si="36"/>
        <v>50.688360638323616</v>
      </c>
      <c r="I62" s="3">
        <f t="shared" si="36"/>
        <v>53.390062689674814</v>
      </c>
      <c r="J62" s="3">
        <f t="shared" si="36"/>
        <v>55.803107657739986</v>
      </c>
      <c r="K62" s="3">
        <f t="shared" si="36"/>
        <v>57.78626309124076</v>
      </c>
      <c r="L62" s="3">
        <f t="shared" si="36"/>
        <v>59.233881491341684</v>
      </c>
      <c r="M62" s="3">
        <f t="shared" si="36"/>
        <v>60.07519517353366</v>
      </c>
      <c r="N62" s="3">
        <f t="shared" si="36"/>
        <v>60.271667173761585</v>
      </c>
      <c r="O62" s="3">
        <f t="shared" si="36"/>
        <v>59.8145807915006</v>
      </c>
      <c r="P62" s="3">
        <f t="shared" si="36"/>
        <v>58.7243816147422</v>
      </c>
      <c r="Q62" s="3">
        <f t="shared" si="36"/>
        <v>57.0521523401932</v>
      </c>
      <c r="R62" s="3">
        <f t="shared" si="36"/>
        <v>54.88235136278629</v>
      </c>
      <c r="S62" s="3">
        <f t="shared" si="36"/>
        <v>52.33496191621081</v>
      </c>
      <c r="T62" s="3">
        <f t="shared" si="36"/>
        <v>49.5647872084411</v>
      </c>
      <c r="U62" s="3">
        <f t="shared" si="36"/>
        <v>46.75593752627614</v>
      </c>
      <c r="V62" s="3">
        <f t="shared" si="36"/>
        <v>44.11053542730058</v>
      </c>
      <c r="W62" s="3">
        <f t="shared" si="36"/>
        <v>41.83207326837583</v>
      </c>
      <c r="X62" s="3">
        <f t="shared" si="36"/>
        <v>40.10532574693418</v>
      </c>
      <c r="Y62" s="3">
        <f t="shared" si="36"/>
        <v>39.07585297013197</v>
      </c>
      <c r="Z62" s="3">
        <f t="shared" si="36"/>
        <v>38.8326089794737</v>
      </c>
    </row>
    <row r="63" spans="1:26" ht="12.75">
      <c r="A63" s="8" t="s">
        <v>62</v>
      </c>
      <c r="B63" s="3">
        <f aca="true" t="shared" si="37" ref="B63:Z63">SQRT(B62)</f>
        <v>6.23158157930021</v>
      </c>
      <c r="C63" s="3">
        <f t="shared" si="37"/>
        <v>6.276690448998455</v>
      </c>
      <c r="D63" s="3">
        <f t="shared" si="37"/>
        <v>6.381175385476975</v>
      </c>
      <c r="E63" s="3">
        <f t="shared" si="37"/>
        <v>6.533523957267639</v>
      </c>
      <c r="F63" s="3">
        <f t="shared" si="37"/>
        <v>6.718323109149919</v>
      </c>
      <c r="G63" s="3">
        <f t="shared" si="37"/>
        <v>6.918917107475964</v>
      </c>
      <c r="H63" s="3">
        <f t="shared" si="37"/>
        <v>7.119575874890555</v>
      </c>
      <c r="I63" s="3">
        <f t="shared" si="37"/>
        <v>7.306850394641648</v>
      </c>
      <c r="J63" s="3">
        <f t="shared" si="37"/>
        <v>7.470147766794174</v>
      </c>
      <c r="K63" s="3">
        <f t="shared" si="37"/>
        <v>7.6017276385859</v>
      </c>
      <c r="L63" s="3">
        <f t="shared" si="37"/>
        <v>7.696355078304384</v>
      </c>
      <c r="M63" s="3">
        <f t="shared" si="37"/>
        <v>7.750819000178862</v>
      </c>
      <c r="N63" s="3">
        <f t="shared" si="37"/>
        <v>7.763482928026672</v>
      </c>
      <c r="O63" s="3">
        <f t="shared" si="37"/>
        <v>7.733988672832448</v>
      </c>
      <c r="P63" s="3">
        <f t="shared" si="37"/>
        <v>7.663183516968793</v>
      </c>
      <c r="Q63" s="3">
        <f t="shared" si="37"/>
        <v>7.553287518702913</v>
      </c>
      <c r="R63" s="3">
        <f t="shared" si="37"/>
        <v>7.408262371351753</v>
      </c>
      <c r="S63" s="3">
        <f t="shared" si="37"/>
        <v>7.234290698901366</v>
      </c>
      <c r="T63" s="3">
        <f t="shared" si="37"/>
        <v>7.040226360596732</v>
      </c>
      <c r="U63" s="3">
        <f t="shared" si="37"/>
        <v>6.837831346726544</v>
      </c>
      <c r="V63" s="3">
        <f t="shared" si="37"/>
        <v>6.641576275802348</v>
      </c>
      <c r="W63" s="3">
        <f t="shared" si="37"/>
        <v>6.467771893656719</v>
      </c>
      <c r="X63" s="3">
        <f t="shared" si="37"/>
        <v>6.332876577585748</v>
      </c>
      <c r="Y63" s="3">
        <f t="shared" si="37"/>
        <v>6.25106814633563</v>
      </c>
      <c r="Z63" s="3">
        <f t="shared" si="37"/>
        <v>6.23158157930021</v>
      </c>
    </row>
    <row r="64" spans="1:26" ht="12.75">
      <c r="A64" s="8" t="s">
        <v>160</v>
      </c>
      <c r="B64" s="3">
        <f aca="true" t="shared" si="38" ref="B64:Z64">(B60+SQRT(B60^2+B59^2-B61^2))/(B59+B61)</f>
        <v>0.7037534924106313</v>
      </c>
      <c r="C64" s="3">
        <f t="shared" si="38"/>
        <v>0.6732376854289873</v>
      </c>
      <c r="D64" s="3">
        <f t="shared" si="38"/>
        <v>0.6440714106480799</v>
      </c>
      <c r="E64" s="3">
        <f t="shared" si="38"/>
        <v>0.6186084304328847</v>
      </c>
      <c r="F64" s="3">
        <f t="shared" si="38"/>
        <v>0.5983499860637587</v>
      </c>
      <c r="G64" s="3">
        <f t="shared" si="38"/>
        <v>0.5840272765409924</v>
      </c>
      <c r="H64" s="3">
        <f t="shared" si="38"/>
        <v>0.575812066044119</v>
      </c>
      <c r="I64" s="3">
        <f t="shared" si="38"/>
        <v>0.5735308147367698</v>
      </c>
      <c r="J64" s="3">
        <f t="shared" si="38"/>
        <v>0.5768225005431908</v>
      </c>
      <c r="K64" s="3">
        <f t="shared" si="38"/>
        <v>0.5852300468422433</v>
      </c>
      <c r="L64" s="3">
        <f t="shared" si="38"/>
        <v>0.5982374022201157</v>
      </c>
      <c r="M64" s="3">
        <f t="shared" si="38"/>
        <v>0.6152683906889332</v>
      </c>
      <c r="N64" s="3">
        <f t="shared" si="38"/>
        <v>0.6356604414722047</v>
      </c>
      <c r="O64" s="3">
        <f t="shared" si="38"/>
        <v>0.658622520823778</v>
      </c>
      <c r="P64" s="3">
        <f t="shared" si="38"/>
        <v>0.6831847365196374</v>
      </c>
      <c r="Q64" s="3">
        <f t="shared" si="38"/>
        <v>0.7081483550004708</v>
      </c>
      <c r="R64" s="3">
        <f t="shared" si="38"/>
        <v>0.7320500885374993</v>
      </c>
      <c r="S64" s="3">
        <f t="shared" si="38"/>
        <v>0.7531635277294711</v>
      </c>
      <c r="T64" s="3">
        <f t="shared" si="38"/>
        <v>0.7695712747024614</v>
      </c>
      <c r="U64" s="3">
        <f t="shared" si="38"/>
        <v>0.7793462555478464</v>
      </c>
      <c r="V64" s="3">
        <f t="shared" si="38"/>
        <v>0.780865114775378</v>
      </c>
      <c r="W64" s="3">
        <f t="shared" si="38"/>
        <v>0.7732234190286982</v>
      </c>
      <c r="X64" s="3">
        <f t="shared" si="38"/>
        <v>0.7566328680797342</v>
      </c>
      <c r="Y64" s="3">
        <f t="shared" si="38"/>
        <v>0.7326046592392074</v>
      </c>
      <c r="Z64" s="3">
        <f t="shared" si="38"/>
        <v>0.7037534924106313</v>
      </c>
    </row>
    <row r="65" spans="1:26" ht="12.75" customHeight="1">
      <c r="A65" s="8" t="s">
        <v>42</v>
      </c>
      <c r="B65" s="3">
        <f aca="true" t="shared" si="39" ref="B65:Z65">ATAN(B64)</f>
        <v>0.6132406471468446</v>
      </c>
      <c r="C65" s="3">
        <f t="shared" si="39"/>
        <v>0.5925379843886044</v>
      </c>
      <c r="D65" s="3">
        <f t="shared" si="39"/>
        <v>0.5721961984131247</v>
      </c>
      <c r="E65" s="3">
        <f t="shared" si="39"/>
        <v>0.5539899220224499</v>
      </c>
      <c r="F65" s="3">
        <f t="shared" si="39"/>
        <v>0.5392053715035943</v>
      </c>
      <c r="G65" s="3">
        <f t="shared" si="39"/>
        <v>0.5285920527848283</v>
      </c>
      <c r="H65" s="3">
        <f t="shared" si="39"/>
        <v>0.5224443548364305</v>
      </c>
      <c r="I65" s="3">
        <f t="shared" si="39"/>
        <v>0.5207294471172246</v>
      </c>
      <c r="J65" s="3">
        <f t="shared" si="39"/>
        <v>0.5232028586550467</v>
      </c>
      <c r="K65" s="3">
        <f t="shared" si="39"/>
        <v>0.5294884446947807</v>
      </c>
      <c r="L65" s="3">
        <f t="shared" si="39"/>
        <v>0.5391224646214882</v>
      </c>
      <c r="M65" s="3">
        <f t="shared" si="39"/>
        <v>0.5515706778395101</v>
      </c>
      <c r="N65" s="3">
        <f t="shared" si="39"/>
        <v>0.5662285487942943</v>
      </c>
      <c r="O65" s="3">
        <f t="shared" si="39"/>
        <v>0.5824128846512922</v>
      </c>
      <c r="P65" s="3">
        <f t="shared" si="39"/>
        <v>0.59935118100555</v>
      </c>
      <c r="Q65" s="3">
        <f t="shared" si="39"/>
        <v>0.6161737503252493</v>
      </c>
      <c r="R65" s="3">
        <f t="shared" si="39"/>
        <v>0.6319138442245533</v>
      </c>
      <c r="S65" s="3">
        <f t="shared" si="39"/>
        <v>0.6455226940183766</v>
      </c>
      <c r="T65" s="3">
        <f t="shared" si="39"/>
        <v>0.6559095145535071</v>
      </c>
      <c r="U65" s="3">
        <f t="shared" si="39"/>
        <v>0.662019708566823</v>
      </c>
      <c r="V65" s="3">
        <f t="shared" si="39"/>
        <v>0.6629639411181947</v>
      </c>
      <c r="W65" s="3">
        <f t="shared" si="39"/>
        <v>0.6581991836707264</v>
      </c>
      <c r="X65" s="3">
        <f t="shared" si="39"/>
        <v>0.6477326467553273</v>
      </c>
      <c r="Y65" s="3">
        <f t="shared" si="39"/>
        <v>0.6322748215625422</v>
      </c>
      <c r="Z65" s="3">
        <f t="shared" si="39"/>
        <v>0.6132406471468446</v>
      </c>
    </row>
    <row r="66" spans="1:26" ht="12.75">
      <c r="A66" s="8" t="s">
        <v>43</v>
      </c>
      <c r="B66" s="3">
        <f aca="true" t="shared" si="40" ref="B66:Z66">B65*2</f>
        <v>1.2264812942936891</v>
      </c>
      <c r="C66" s="3">
        <f t="shared" si="40"/>
        <v>1.1850759687772088</v>
      </c>
      <c r="D66" s="3">
        <f t="shared" si="40"/>
        <v>1.1443923968262495</v>
      </c>
      <c r="E66" s="3">
        <f t="shared" si="40"/>
        <v>1.1079798440448998</v>
      </c>
      <c r="F66" s="3">
        <f t="shared" si="40"/>
        <v>1.0784107430071885</v>
      </c>
      <c r="G66" s="3">
        <f t="shared" si="40"/>
        <v>1.0571841055696567</v>
      </c>
      <c r="H66" s="3">
        <f t="shared" si="40"/>
        <v>1.044888709672861</v>
      </c>
      <c r="I66" s="3">
        <f t="shared" si="40"/>
        <v>1.0414588942344492</v>
      </c>
      <c r="J66" s="3">
        <f t="shared" si="40"/>
        <v>1.0464057173100934</v>
      </c>
      <c r="K66" s="3">
        <f t="shared" si="40"/>
        <v>1.0589768893895615</v>
      </c>
      <c r="L66" s="3">
        <f t="shared" si="40"/>
        <v>1.0782449292429763</v>
      </c>
      <c r="M66" s="3">
        <f t="shared" si="40"/>
        <v>1.1031413556790202</v>
      </c>
      <c r="N66" s="3">
        <f t="shared" si="40"/>
        <v>1.1324570975885886</v>
      </c>
      <c r="O66" s="3">
        <f t="shared" si="40"/>
        <v>1.1648257693025843</v>
      </c>
      <c r="P66" s="3">
        <f t="shared" si="40"/>
        <v>1.1987023620111</v>
      </c>
      <c r="Q66" s="3">
        <f t="shared" si="40"/>
        <v>1.2323475006504987</v>
      </c>
      <c r="R66" s="3">
        <f t="shared" si="40"/>
        <v>1.2638276884491066</v>
      </c>
      <c r="S66" s="3">
        <f t="shared" si="40"/>
        <v>1.2910453880367532</v>
      </c>
      <c r="T66" s="3">
        <f t="shared" si="40"/>
        <v>1.3118190291070142</v>
      </c>
      <c r="U66" s="3">
        <f t="shared" si="40"/>
        <v>1.324039417133646</v>
      </c>
      <c r="V66" s="3">
        <f t="shared" si="40"/>
        <v>1.3259278822363894</v>
      </c>
      <c r="W66" s="3">
        <f t="shared" si="40"/>
        <v>1.3163983673414528</v>
      </c>
      <c r="X66" s="3">
        <f t="shared" si="40"/>
        <v>1.2954652935106545</v>
      </c>
      <c r="Y66" s="3">
        <f t="shared" si="40"/>
        <v>1.2645496431250844</v>
      </c>
      <c r="Z66" s="3">
        <f t="shared" si="40"/>
        <v>1.2264812942936891</v>
      </c>
    </row>
    <row r="67" spans="1:26" ht="12.75">
      <c r="A67" s="8" t="s">
        <v>63</v>
      </c>
      <c r="B67" s="3">
        <f aca="true" t="shared" si="41" ref="B67:Z67">COS(53)</f>
        <v>-0.9182827862121189</v>
      </c>
      <c r="C67" s="3">
        <f t="shared" si="41"/>
        <v>-0.9182827862121189</v>
      </c>
      <c r="D67" s="3">
        <f t="shared" si="41"/>
        <v>-0.9182827862121189</v>
      </c>
      <c r="E67" s="3">
        <f t="shared" si="41"/>
        <v>-0.9182827862121189</v>
      </c>
      <c r="F67" s="3">
        <f t="shared" si="41"/>
        <v>-0.9182827862121189</v>
      </c>
      <c r="G67" s="3">
        <f t="shared" si="41"/>
        <v>-0.9182827862121189</v>
      </c>
      <c r="H67" s="3">
        <f t="shared" si="41"/>
        <v>-0.9182827862121189</v>
      </c>
      <c r="I67" s="3">
        <f t="shared" si="41"/>
        <v>-0.9182827862121189</v>
      </c>
      <c r="J67" s="3">
        <f t="shared" si="41"/>
        <v>-0.9182827862121189</v>
      </c>
      <c r="K67" s="3">
        <f t="shared" si="41"/>
        <v>-0.9182827862121189</v>
      </c>
      <c r="L67" s="3">
        <f t="shared" si="41"/>
        <v>-0.9182827862121189</v>
      </c>
      <c r="M67" s="3">
        <f t="shared" si="41"/>
        <v>-0.9182827862121189</v>
      </c>
      <c r="N67" s="3">
        <f t="shared" si="41"/>
        <v>-0.9182827862121189</v>
      </c>
      <c r="O67" s="3">
        <f t="shared" si="41"/>
        <v>-0.9182827862121189</v>
      </c>
      <c r="P67" s="3">
        <f t="shared" si="41"/>
        <v>-0.9182827862121189</v>
      </c>
      <c r="Q67" s="3">
        <f t="shared" si="41"/>
        <v>-0.9182827862121189</v>
      </c>
      <c r="R67" s="3">
        <f t="shared" si="41"/>
        <v>-0.9182827862121189</v>
      </c>
      <c r="S67" s="3">
        <f t="shared" si="41"/>
        <v>-0.9182827862121189</v>
      </c>
      <c r="T67" s="3">
        <f t="shared" si="41"/>
        <v>-0.9182827862121189</v>
      </c>
      <c r="U67" s="3">
        <f t="shared" si="41"/>
        <v>-0.9182827862121189</v>
      </c>
      <c r="V67" s="3">
        <f t="shared" si="41"/>
        <v>-0.9182827862121189</v>
      </c>
      <c r="W67" s="3">
        <f t="shared" si="41"/>
        <v>-0.9182827862121189</v>
      </c>
      <c r="X67" s="3">
        <f t="shared" si="41"/>
        <v>-0.9182827862121189</v>
      </c>
      <c r="Y67" s="3">
        <f t="shared" si="41"/>
        <v>-0.9182827862121189</v>
      </c>
      <c r="Z67" s="3">
        <f t="shared" si="41"/>
        <v>-0.9182827862121189</v>
      </c>
    </row>
    <row r="68" spans="1:26" ht="12.75">
      <c r="A68" s="8" t="s">
        <v>64</v>
      </c>
      <c r="B68" s="3">
        <f aca="true" t="shared" si="42" ref="B68:Z68">SIN(53)</f>
        <v>0.39592515018183416</v>
      </c>
      <c r="C68" s="3">
        <f t="shared" si="42"/>
        <v>0.39592515018183416</v>
      </c>
      <c r="D68" s="3">
        <f t="shared" si="42"/>
        <v>0.39592515018183416</v>
      </c>
      <c r="E68" s="3">
        <f t="shared" si="42"/>
        <v>0.39592515018183416</v>
      </c>
      <c r="F68" s="3">
        <f t="shared" si="42"/>
        <v>0.39592515018183416</v>
      </c>
      <c r="G68" s="3">
        <f t="shared" si="42"/>
        <v>0.39592515018183416</v>
      </c>
      <c r="H68" s="3">
        <f t="shared" si="42"/>
        <v>0.39592515018183416</v>
      </c>
      <c r="I68" s="3">
        <f t="shared" si="42"/>
        <v>0.39592515018183416</v>
      </c>
      <c r="J68" s="3">
        <f t="shared" si="42"/>
        <v>0.39592515018183416</v>
      </c>
      <c r="K68" s="3">
        <f t="shared" si="42"/>
        <v>0.39592515018183416</v>
      </c>
      <c r="L68" s="3">
        <f t="shared" si="42"/>
        <v>0.39592515018183416</v>
      </c>
      <c r="M68" s="3">
        <f t="shared" si="42"/>
        <v>0.39592515018183416</v>
      </c>
      <c r="N68" s="3">
        <f t="shared" si="42"/>
        <v>0.39592515018183416</v>
      </c>
      <c r="O68" s="3">
        <f t="shared" si="42"/>
        <v>0.39592515018183416</v>
      </c>
      <c r="P68" s="3">
        <f t="shared" si="42"/>
        <v>0.39592515018183416</v>
      </c>
      <c r="Q68" s="3">
        <f t="shared" si="42"/>
        <v>0.39592515018183416</v>
      </c>
      <c r="R68" s="3">
        <f t="shared" si="42"/>
        <v>0.39592515018183416</v>
      </c>
      <c r="S68" s="3">
        <f t="shared" si="42"/>
        <v>0.39592515018183416</v>
      </c>
      <c r="T68" s="3">
        <f t="shared" si="42"/>
        <v>0.39592515018183416</v>
      </c>
      <c r="U68" s="3">
        <f t="shared" si="42"/>
        <v>0.39592515018183416</v>
      </c>
      <c r="V68" s="3">
        <f t="shared" si="42"/>
        <v>0.39592515018183416</v>
      </c>
      <c r="W68" s="3">
        <f t="shared" si="42"/>
        <v>0.39592515018183416</v>
      </c>
      <c r="X68" s="3">
        <f t="shared" si="42"/>
        <v>0.39592515018183416</v>
      </c>
      <c r="Y68" s="3">
        <f t="shared" si="42"/>
        <v>0.39592515018183416</v>
      </c>
      <c r="Z68" s="3">
        <f t="shared" si="42"/>
        <v>0.39592515018183416</v>
      </c>
    </row>
    <row r="69" spans="1:26" ht="12.75">
      <c r="A69" s="8" t="s">
        <v>65</v>
      </c>
      <c r="B69" s="3">
        <f aca="true" t="shared" si="43" ref="B69:Z69">B66-$B$66</f>
        <v>0</v>
      </c>
      <c r="C69" s="3">
        <f t="shared" si="43"/>
        <v>-0.04140532551648035</v>
      </c>
      <c r="D69" s="3">
        <f t="shared" si="43"/>
        <v>-0.08208889746743964</v>
      </c>
      <c r="E69" s="3">
        <f t="shared" si="43"/>
        <v>-0.11850145024878933</v>
      </c>
      <c r="F69" s="3">
        <f t="shared" si="43"/>
        <v>-0.1480705512865006</v>
      </c>
      <c r="G69" s="3">
        <f t="shared" si="43"/>
        <v>-0.16929718872403243</v>
      </c>
      <c r="H69" s="3">
        <f t="shared" si="43"/>
        <v>-0.18159258462082817</v>
      </c>
      <c r="I69" s="3">
        <f t="shared" si="43"/>
        <v>-0.18502240005923998</v>
      </c>
      <c r="J69" s="3">
        <f t="shared" si="43"/>
        <v>-0.18007557698359578</v>
      </c>
      <c r="K69" s="3">
        <f t="shared" si="43"/>
        <v>-0.16750440490412766</v>
      </c>
      <c r="L69" s="3">
        <f t="shared" si="43"/>
        <v>-0.1482363650507128</v>
      </c>
      <c r="M69" s="3">
        <f t="shared" si="43"/>
        <v>-0.12333993861466896</v>
      </c>
      <c r="N69" s="3">
        <f t="shared" si="43"/>
        <v>-0.09402419670510054</v>
      </c>
      <c r="O69" s="3">
        <f t="shared" si="43"/>
        <v>-0.061655524991104826</v>
      </c>
      <c r="P69" s="3">
        <f t="shared" si="43"/>
        <v>-0.027778932282589208</v>
      </c>
      <c r="Q69" s="3">
        <f t="shared" si="43"/>
        <v>0.005866206356809567</v>
      </c>
      <c r="R69" s="3">
        <f t="shared" si="43"/>
        <v>0.03734639415541752</v>
      </c>
      <c r="S69" s="3">
        <f t="shared" si="43"/>
        <v>0.06456409374306404</v>
      </c>
      <c r="T69" s="3">
        <f t="shared" si="43"/>
        <v>0.08533773481332507</v>
      </c>
      <c r="U69" s="3">
        <f t="shared" si="43"/>
        <v>0.0975581228399569</v>
      </c>
      <c r="V69" s="3">
        <f t="shared" si="43"/>
        <v>0.09944658794270023</v>
      </c>
      <c r="W69" s="3">
        <f t="shared" si="43"/>
        <v>0.08991707304776364</v>
      </c>
      <c r="X69" s="3">
        <f t="shared" si="43"/>
        <v>0.06898399921696541</v>
      </c>
      <c r="Y69" s="3">
        <f t="shared" si="43"/>
        <v>0.038068348831395316</v>
      </c>
      <c r="Z69" s="3">
        <f t="shared" si="43"/>
        <v>0</v>
      </c>
    </row>
    <row r="70" spans="1:26" ht="12.75">
      <c r="A70" s="8" t="s">
        <v>66</v>
      </c>
      <c r="B70" s="3">
        <f aca="true" t="shared" si="44" ref="B70:Z70">COS(B69)</f>
        <v>1</v>
      </c>
      <c r="C70" s="3">
        <f t="shared" si="44"/>
        <v>0.9991429219678857</v>
      </c>
      <c r="D70" s="3">
        <f t="shared" si="44"/>
        <v>0.9966325980545198</v>
      </c>
      <c r="E70" s="3">
        <f t="shared" si="44"/>
        <v>0.9929869157343515</v>
      </c>
      <c r="F70" s="3">
        <f t="shared" si="44"/>
        <v>0.9890575704853536</v>
      </c>
      <c r="G70" s="3">
        <f t="shared" si="44"/>
        <v>0.985703426750713</v>
      </c>
      <c r="H70" s="3">
        <f t="shared" si="44"/>
        <v>0.9835573254895418</v>
      </c>
      <c r="I70" s="3">
        <f t="shared" si="44"/>
        <v>0.9829321299703835</v>
      </c>
      <c r="J70" s="3">
        <f t="shared" si="44"/>
        <v>0.9838301594632015</v>
      </c>
      <c r="K70" s="3">
        <f t="shared" si="44"/>
        <v>0.9860039080050969</v>
      </c>
      <c r="L70" s="3">
        <f t="shared" si="44"/>
        <v>0.9890330943721493</v>
      </c>
      <c r="M70" s="3">
        <f t="shared" si="44"/>
        <v>0.9924032676941495</v>
      </c>
      <c r="N70" s="3">
        <f t="shared" si="44"/>
        <v>0.9955829807290247</v>
      </c>
      <c r="O70" s="3">
        <f t="shared" si="44"/>
        <v>0.9980999001540186</v>
      </c>
      <c r="P70" s="3">
        <f t="shared" si="44"/>
        <v>0.9996141902713634</v>
      </c>
      <c r="Q70" s="3">
        <f t="shared" si="44"/>
        <v>0.9999827938608318</v>
      </c>
      <c r="R70" s="3">
        <f t="shared" si="44"/>
        <v>0.9993027044737077</v>
      </c>
      <c r="S70" s="3">
        <f t="shared" si="44"/>
        <v>0.997916462823028</v>
      </c>
      <c r="T70" s="3">
        <f t="shared" si="44"/>
        <v>0.9963609447732865</v>
      </c>
      <c r="U70" s="3">
        <f t="shared" si="44"/>
        <v>0.9952449794896103</v>
      </c>
      <c r="V70" s="3">
        <f t="shared" si="44"/>
        <v>0.9950592619242752</v>
      </c>
      <c r="W70" s="3">
        <f t="shared" si="44"/>
        <v>0.9959601829416187</v>
      </c>
      <c r="X70" s="3">
        <f t="shared" si="44"/>
        <v>0.9976215473639645</v>
      </c>
      <c r="Y70" s="3">
        <f t="shared" si="44"/>
        <v>0.9992754879118265</v>
      </c>
      <c r="Z70" s="3">
        <f t="shared" si="44"/>
        <v>1</v>
      </c>
    </row>
    <row r="71" spans="1:26" ht="12.75">
      <c r="A71" s="8" t="s">
        <v>67</v>
      </c>
      <c r="B71" s="3">
        <f aca="true" t="shared" si="45" ref="B71:Z71">SIN(B69)</f>
        <v>0</v>
      </c>
      <c r="C71" s="3">
        <f t="shared" si="45"/>
        <v>-0.041393495642135084</v>
      </c>
      <c r="D71" s="3">
        <f t="shared" si="45"/>
        <v>-0.08199673466119298</v>
      </c>
      <c r="E71" s="3">
        <f t="shared" si="45"/>
        <v>-0.11822430029558209</v>
      </c>
      <c r="F71" s="3">
        <f t="shared" si="45"/>
        <v>-0.1475300724110503</v>
      </c>
      <c r="G71" s="3">
        <f t="shared" si="45"/>
        <v>-0.16848962725313912</v>
      </c>
      <c r="H71" s="3">
        <f t="shared" si="45"/>
        <v>-0.1805962000593025</v>
      </c>
      <c r="I71" s="3">
        <f t="shared" si="45"/>
        <v>-0.18396855131213385</v>
      </c>
      <c r="J71" s="3">
        <f t="shared" si="45"/>
        <v>-0.1791039288530863</v>
      </c>
      <c r="K71" s="3">
        <f t="shared" si="45"/>
        <v>-0.16672220427608456</v>
      </c>
      <c r="L71" s="3">
        <f t="shared" si="45"/>
        <v>-0.14769406974097257</v>
      </c>
      <c r="M71" s="3">
        <f t="shared" si="45"/>
        <v>-0.12302745331825012</v>
      </c>
      <c r="N71" s="3">
        <f t="shared" si="45"/>
        <v>-0.09388572033440643</v>
      </c>
      <c r="O71" s="3">
        <f t="shared" si="45"/>
        <v>-0.06161646949102271</v>
      </c>
      <c r="P71" s="3">
        <f t="shared" si="45"/>
        <v>-0.027775359729919506</v>
      </c>
      <c r="Q71" s="3">
        <f t="shared" si="45"/>
        <v>0.0058661727118499854</v>
      </c>
      <c r="R71" s="3">
        <f t="shared" si="45"/>
        <v>0.03733771326063676</v>
      </c>
      <c r="S71" s="3">
        <f t="shared" si="45"/>
        <v>0.06451924694830316</v>
      </c>
      <c r="T71" s="3">
        <f t="shared" si="45"/>
        <v>0.08523419343481692</v>
      </c>
      <c r="U71" s="3">
        <f t="shared" si="45"/>
        <v>0.09740344347467994</v>
      </c>
      <c r="V71" s="3">
        <f t="shared" si="45"/>
        <v>0.09928275408507158</v>
      </c>
      <c r="W71" s="3">
        <f t="shared" si="45"/>
        <v>0.08979595756434358</v>
      </c>
      <c r="X71" s="3">
        <f t="shared" si="45"/>
        <v>0.06892929881501171</v>
      </c>
      <c r="Y71" s="3">
        <f t="shared" si="45"/>
        <v>0.038059154727622474</v>
      </c>
      <c r="Z71" s="3">
        <f t="shared" si="45"/>
        <v>0</v>
      </c>
    </row>
    <row r="72" ht="12.75">
      <c r="A72" s="8"/>
    </row>
    <row r="73" spans="1:26" ht="12.75">
      <c r="A73" s="8" t="s">
        <v>44</v>
      </c>
      <c r="B73" s="3">
        <f aca="true" t="shared" si="46" ref="B73:Z73">ACOS(($B$6*COS(B14)+$B$7*COS(B66)-$B$10)/$B$8)</f>
        <v>1.899255603266718</v>
      </c>
      <c r="C73" s="3">
        <f t="shared" si="46"/>
        <v>1.8636313150115116</v>
      </c>
      <c r="D73" s="3">
        <f t="shared" si="46"/>
        <v>1.8364432288733046</v>
      </c>
      <c r="E73" s="3">
        <f t="shared" si="46"/>
        <v>1.8199840783874413</v>
      </c>
      <c r="F73" s="3">
        <f t="shared" si="46"/>
        <v>1.815090508810808</v>
      </c>
      <c r="G73" s="3">
        <f t="shared" si="46"/>
        <v>1.821289973542278</v>
      </c>
      <c r="H73" s="3">
        <f t="shared" si="46"/>
        <v>1.8371706969207995</v>
      </c>
      <c r="I73" s="3">
        <f t="shared" si="46"/>
        <v>1.8607837119934068</v>
      </c>
      <c r="J73" s="3">
        <f t="shared" si="46"/>
        <v>1.889966037278177</v>
      </c>
      <c r="K73" s="3">
        <f t="shared" si="46"/>
        <v>1.922555867747457</v>
      </c>
      <c r="L73" s="3">
        <f t="shared" si="46"/>
        <v>1.9565150126171058</v>
      </c>
      <c r="M73" s="3">
        <f t="shared" si="46"/>
        <v>1.9899860575643324</v>
      </c>
      <c r="N73" s="3">
        <f t="shared" si="46"/>
        <v>2.021308498158024</v>
      </c>
      <c r="O73" s="3">
        <f t="shared" si="46"/>
        <v>2.0490111921739573</v>
      </c>
      <c r="P73" s="3">
        <f t="shared" si="46"/>
        <v>2.0717932223785485</v>
      </c>
      <c r="Q73" s="3">
        <f t="shared" si="46"/>
        <v>2.088503121442354</v>
      </c>
      <c r="R73" s="3">
        <f t="shared" si="46"/>
        <v>2.098127288513768</v>
      </c>
      <c r="S73" s="3">
        <f t="shared" si="46"/>
        <v>2.099801665817536</v>
      </c>
      <c r="T73" s="3">
        <f t="shared" si="46"/>
        <v>2.092865009631179</v>
      </c>
      <c r="U73" s="3">
        <f t="shared" si="46"/>
        <v>2.0769741523551843</v>
      </c>
      <c r="V73" s="3">
        <f t="shared" si="46"/>
        <v>2.052294355375206</v>
      </c>
      <c r="W73" s="3">
        <f t="shared" si="46"/>
        <v>2.01974954798974</v>
      </c>
      <c r="X73" s="3">
        <f t="shared" si="46"/>
        <v>1.9812592379663099</v>
      </c>
      <c r="Y73" s="3">
        <f t="shared" si="46"/>
        <v>1.9398180157991622</v>
      </c>
      <c r="Z73" s="3">
        <f t="shared" si="46"/>
        <v>1.899255603266718</v>
      </c>
    </row>
    <row r="74" spans="1:26" ht="12.75">
      <c r="A74" s="8" t="s">
        <v>68</v>
      </c>
      <c r="B74" s="3">
        <f aca="true" t="shared" si="47" ref="B74:Z74">COS(B73)</f>
        <v>-0.32258505466292764</v>
      </c>
      <c r="C74" s="3">
        <f t="shared" si="47"/>
        <v>-0.288667682440724</v>
      </c>
      <c r="D74" s="3">
        <f t="shared" si="47"/>
        <v>-0.26253353364846155</v>
      </c>
      <c r="E74" s="3">
        <f t="shared" si="47"/>
        <v>-0.24661688015749705</v>
      </c>
      <c r="F74" s="3">
        <f t="shared" si="47"/>
        <v>-0.24187152405619025</v>
      </c>
      <c r="G74" s="3">
        <f t="shared" si="47"/>
        <v>-0.24788222955599448</v>
      </c>
      <c r="H74" s="3">
        <f t="shared" si="47"/>
        <v>-0.26323541467461464</v>
      </c>
      <c r="I74" s="3">
        <f t="shared" si="47"/>
        <v>-0.2859401370258151</v>
      </c>
      <c r="J74" s="3">
        <f t="shared" si="47"/>
        <v>-0.313778312062091</v>
      </c>
      <c r="K74" s="3">
        <f t="shared" si="47"/>
        <v>-0.3445501405575621</v>
      </c>
      <c r="L74" s="3">
        <f t="shared" si="47"/>
        <v>-0.37622511659387864</v>
      </c>
      <c r="M74" s="3">
        <f t="shared" si="47"/>
        <v>-0.40702047141267567</v>
      </c>
      <c r="N74" s="3">
        <f t="shared" si="47"/>
        <v>-0.43542666026093285</v>
      </c>
      <c r="O74" s="3">
        <f t="shared" si="47"/>
        <v>-0.4601950352602562</v>
      </c>
      <c r="P74" s="3">
        <f t="shared" si="47"/>
        <v>-0.4803001584128123</v>
      </c>
      <c r="Q74" s="3">
        <f t="shared" si="47"/>
        <v>-0.49488874550632933</v>
      </c>
      <c r="R74" s="3">
        <f t="shared" si="47"/>
        <v>-0.5032286781892122</v>
      </c>
      <c r="S74" s="3">
        <f t="shared" si="47"/>
        <v>-0.5046748907475241</v>
      </c>
      <c r="T74" s="3">
        <f t="shared" si="47"/>
        <v>-0.49867431601914636</v>
      </c>
      <c r="U74" s="3">
        <f t="shared" si="47"/>
        <v>-0.48483790736484356</v>
      </c>
      <c r="V74" s="3">
        <f t="shared" si="47"/>
        <v>-0.4631074006525935</v>
      </c>
      <c r="W74" s="3">
        <f t="shared" si="47"/>
        <v>-0.4340227270356372</v>
      </c>
      <c r="X74" s="3">
        <f t="shared" si="47"/>
        <v>-0.39903383073532955</v>
      </c>
      <c r="Y74" s="3">
        <f t="shared" si="47"/>
        <v>-0.3607031529669489</v>
      </c>
      <c r="Z74" s="3">
        <f t="shared" si="47"/>
        <v>-0.32258505466292764</v>
      </c>
    </row>
    <row r="75" spans="1:26" ht="12.75">
      <c r="A75" s="8" t="s">
        <v>69</v>
      </c>
      <c r="B75" s="3">
        <f aca="true" t="shared" si="48" ref="B75:Z75">SIN(B73)</f>
        <v>0.9465404811777022</v>
      </c>
      <c r="C75" s="3">
        <f t="shared" si="48"/>
        <v>0.9574293546336989</v>
      </c>
      <c r="D75" s="3">
        <f t="shared" si="48"/>
        <v>0.96492286930617</v>
      </c>
      <c r="E75" s="3">
        <f t="shared" si="48"/>
        <v>0.9691130555417065</v>
      </c>
      <c r="F75" s="3">
        <f t="shared" si="48"/>
        <v>0.9703082839235867</v>
      </c>
      <c r="G75" s="3">
        <f t="shared" si="48"/>
        <v>0.9687901735000977</v>
      </c>
      <c r="H75" s="3">
        <f t="shared" si="48"/>
        <v>0.9647316292426011</v>
      </c>
      <c r="I75" s="3">
        <f t="shared" si="48"/>
        <v>0.9582474826670081</v>
      </c>
      <c r="J75" s="3">
        <f t="shared" si="48"/>
        <v>0.9494962721777611</v>
      </c>
      <c r="K75" s="3">
        <f t="shared" si="48"/>
        <v>0.938767916282701</v>
      </c>
      <c r="L75" s="3">
        <f t="shared" si="48"/>
        <v>0.9265282843194386</v>
      </c>
      <c r="M75" s="3">
        <f t="shared" si="48"/>
        <v>0.9134190362867435</v>
      </c>
      <c r="N75" s="3">
        <f t="shared" si="48"/>
        <v>0.9002242073694809</v>
      </c>
      <c r="O75" s="3">
        <f t="shared" si="48"/>
        <v>0.8878178470394766</v>
      </c>
      <c r="P75" s="3">
        <f t="shared" si="48"/>
        <v>0.8771041886963187</v>
      </c>
      <c r="Q75" s="3">
        <f t="shared" si="48"/>
        <v>0.8689563450318846</v>
      </c>
      <c r="R75" s="3">
        <f t="shared" si="48"/>
        <v>0.8641532835370923</v>
      </c>
      <c r="S75" s="3">
        <f t="shared" si="48"/>
        <v>0.8633094779098481</v>
      </c>
      <c r="T75" s="3">
        <f t="shared" si="48"/>
        <v>0.8667894361047765</v>
      </c>
      <c r="U75" s="3">
        <f t="shared" si="48"/>
        <v>0.8746040267355732</v>
      </c>
      <c r="V75" s="3">
        <f t="shared" si="48"/>
        <v>0.8863021693873925</v>
      </c>
      <c r="W75" s="3">
        <f t="shared" si="48"/>
        <v>0.9009019216410568</v>
      </c>
      <c r="X75" s="3">
        <f t="shared" si="48"/>
        <v>0.9169362038488219</v>
      </c>
      <c r="Y75" s="3">
        <f t="shared" si="48"/>
        <v>0.932680671741246</v>
      </c>
      <c r="Z75" s="3">
        <f t="shared" si="48"/>
        <v>0.9465404811777022</v>
      </c>
    </row>
    <row r="76" spans="1:26" ht="12.75">
      <c r="A76" s="8" t="s">
        <v>70</v>
      </c>
      <c r="B76" s="3">
        <f aca="true" t="shared" si="49" ref="B76:Z76">B73-$B$73</f>
        <v>0</v>
      </c>
      <c r="C76" s="3">
        <f t="shared" si="49"/>
        <v>-0.03562428825520647</v>
      </c>
      <c r="D76" s="3">
        <f t="shared" si="49"/>
        <v>-0.06281237439341347</v>
      </c>
      <c r="E76" s="3">
        <f t="shared" si="49"/>
        <v>-0.0792715248792768</v>
      </c>
      <c r="F76" s="3">
        <f t="shared" si="49"/>
        <v>-0.08416509445591003</v>
      </c>
      <c r="G76" s="3">
        <f t="shared" si="49"/>
        <v>-0.07796562972443999</v>
      </c>
      <c r="H76" s="3">
        <f t="shared" si="49"/>
        <v>-0.06208490634591857</v>
      </c>
      <c r="I76" s="3">
        <f t="shared" si="49"/>
        <v>-0.0384718912733113</v>
      </c>
      <c r="J76" s="3">
        <f t="shared" si="49"/>
        <v>-0.009289565988541026</v>
      </c>
      <c r="K76" s="3">
        <f t="shared" si="49"/>
        <v>0.023300264480738964</v>
      </c>
      <c r="L76" s="3">
        <f t="shared" si="49"/>
        <v>0.05725940935038776</v>
      </c>
      <c r="M76" s="3">
        <f t="shared" si="49"/>
        <v>0.0907304542976144</v>
      </c>
      <c r="N76" s="3">
        <f t="shared" si="49"/>
        <v>0.122052894891306</v>
      </c>
      <c r="O76" s="3">
        <f t="shared" si="49"/>
        <v>0.14975558890723928</v>
      </c>
      <c r="P76" s="3">
        <f t="shared" si="49"/>
        <v>0.1725376191118304</v>
      </c>
      <c r="Q76" s="3">
        <f t="shared" si="49"/>
        <v>0.18924751817563612</v>
      </c>
      <c r="R76" s="3">
        <f t="shared" si="49"/>
        <v>0.1988716852470498</v>
      </c>
      <c r="S76" s="3">
        <f t="shared" si="49"/>
        <v>0.20054606255081797</v>
      </c>
      <c r="T76" s="3">
        <f t="shared" si="49"/>
        <v>0.1936094063644611</v>
      </c>
      <c r="U76" s="3">
        <f t="shared" si="49"/>
        <v>0.1777185490884663</v>
      </c>
      <c r="V76" s="3">
        <f t="shared" si="49"/>
        <v>0.15303875210848794</v>
      </c>
      <c r="W76" s="3">
        <f t="shared" si="49"/>
        <v>0.12049394472302177</v>
      </c>
      <c r="X76" s="3">
        <f t="shared" si="49"/>
        <v>0.08200363469959182</v>
      </c>
      <c r="Y76" s="3">
        <f t="shared" si="49"/>
        <v>0.04056241253244419</v>
      </c>
      <c r="Z76" s="3">
        <f t="shared" si="49"/>
        <v>0</v>
      </c>
    </row>
    <row r="77" spans="1:26" ht="12.75">
      <c r="A77" s="8" t="s">
        <v>71</v>
      </c>
      <c r="B77" s="3">
        <f aca="true" t="shared" si="50" ref="B77:Z77">COS(B76)</f>
        <v>1</v>
      </c>
      <c r="C77" s="3">
        <f t="shared" si="50"/>
        <v>0.9993655221481998</v>
      </c>
      <c r="D77" s="3">
        <f t="shared" si="50"/>
        <v>0.9980279513152718</v>
      </c>
      <c r="E77" s="3">
        <f t="shared" si="50"/>
        <v>0.996859657674447</v>
      </c>
      <c r="F77" s="3">
        <f t="shared" si="50"/>
        <v>0.996460208764814</v>
      </c>
      <c r="G77" s="3">
        <f t="shared" si="50"/>
        <v>0.9969622195563008</v>
      </c>
      <c r="H77" s="3">
        <f t="shared" si="50"/>
        <v>0.9980733511826693</v>
      </c>
      <c r="I77" s="3">
        <f t="shared" si="50"/>
        <v>0.9992600480637494</v>
      </c>
      <c r="J77" s="3">
        <f t="shared" si="50"/>
        <v>0.9999568522921632</v>
      </c>
      <c r="K77" s="3">
        <f t="shared" si="50"/>
        <v>0.9997285611182971</v>
      </c>
      <c r="L77" s="3">
        <f t="shared" si="50"/>
        <v>0.9983611278664749</v>
      </c>
      <c r="M77" s="3">
        <f t="shared" si="50"/>
        <v>0.9958868151433158</v>
      </c>
      <c r="N77" s="3">
        <f t="shared" si="50"/>
        <v>0.992560787413293</v>
      </c>
      <c r="O77" s="3">
        <f t="shared" si="50"/>
        <v>0.9888075727399355</v>
      </c>
      <c r="P77" s="3">
        <f t="shared" si="50"/>
        <v>0.9851522736678014</v>
      </c>
      <c r="Q77" s="3">
        <f t="shared" si="50"/>
        <v>0.9821460699701243</v>
      </c>
      <c r="R77" s="3">
        <f t="shared" si="50"/>
        <v>0.9802901154721105</v>
      </c>
      <c r="S77" s="3">
        <f t="shared" si="50"/>
        <v>0.9799579458448556</v>
      </c>
      <c r="T77" s="3">
        <f t="shared" si="50"/>
        <v>0.9813161714223988</v>
      </c>
      <c r="U77" s="3">
        <f t="shared" si="50"/>
        <v>0.9842495791561929</v>
      </c>
      <c r="V77" s="3">
        <f t="shared" si="50"/>
        <v>0.988312408035107</v>
      </c>
      <c r="W77" s="3">
        <f t="shared" si="50"/>
        <v>0.9927493835297864</v>
      </c>
      <c r="X77" s="3">
        <f t="shared" si="50"/>
        <v>0.9966395857004332</v>
      </c>
      <c r="Y77" s="3">
        <f t="shared" si="50"/>
        <v>0.9991774581320351</v>
      </c>
      <c r="Z77" s="3">
        <f t="shared" si="50"/>
        <v>1</v>
      </c>
    </row>
    <row r="78" spans="1:26" ht="12.75">
      <c r="A78" s="8" t="s">
        <v>72</v>
      </c>
      <c r="B78" s="3">
        <f aca="true" t="shared" si="51" ref="B78:Z78">SIN(B76)</f>
        <v>0</v>
      </c>
      <c r="C78" s="3">
        <f t="shared" si="51"/>
        <v>-0.0356167536625083</v>
      </c>
      <c r="D78" s="3">
        <f t="shared" si="51"/>
        <v>-0.06277107927574256</v>
      </c>
      <c r="E78" s="3">
        <f t="shared" si="51"/>
        <v>-0.07918852758565724</v>
      </c>
      <c r="F78" s="3">
        <f t="shared" si="51"/>
        <v>-0.08406576204605125</v>
      </c>
      <c r="G78" s="3">
        <f t="shared" si="51"/>
        <v>-0.07788666623610352</v>
      </c>
      <c r="H78" s="3">
        <f t="shared" si="51"/>
        <v>-0.06204502928515806</v>
      </c>
      <c r="I78" s="3">
        <f t="shared" si="51"/>
        <v>-0.03846240168831648</v>
      </c>
      <c r="J78" s="3">
        <f t="shared" si="51"/>
        <v>-0.009289432380330297</v>
      </c>
      <c r="K78" s="3">
        <f t="shared" si="51"/>
        <v>0.023298156243342003</v>
      </c>
      <c r="L78" s="3">
        <f t="shared" si="51"/>
        <v>0.05722812564797236</v>
      </c>
      <c r="M78" s="3">
        <f t="shared" si="51"/>
        <v>0.09060602310941135</v>
      </c>
      <c r="N78" s="3">
        <f t="shared" si="51"/>
        <v>0.1217500853778085</v>
      </c>
      <c r="O78" s="3">
        <f t="shared" si="51"/>
        <v>0.14919646139288018</v>
      </c>
      <c r="P78" s="3">
        <f t="shared" si="51"/>
        <v>0.17168284039810516</v>
      </c>
      <c r="Q78" s="3">
        <f t="shared" si="51"/>
        <v>0.1881199012391821</v>
      </c>
      <c r="R78" s="3">
        <f t="shared" si="51"/>
        <v>0.19756338098867463</v>
      </c>
      <c r="S78" s="3">
        <f t="shared" si="51"/>
        <v>0.19920447880389386</v>
      </c>
      <c r="T78" s="3">
        <f t="shared" si="51"/>
        <v>0.1924021094086167</v>
      </c>
      <c r="U78" s="3">
        <f t="shared" si="51"/>
        <v>0.1767845183573977</v>
      </c>
      <c r="V78" s="3">
        <f t="shared" si="51"/>
        <v>0.1524420680909574</v>
      </c>
      <c r="W78" s="3">
        <f t="shared" si="51"/>
        <v>0.12020258525185368</v>
      </c>
      <c r="X78" s="3">
        <f t="shared" si="51"/>
        <v>0.08191175870941099</v>
      </c>
      <c r="Y78" s="3">
        <f t="shared" si="51"/>
        <v>0.04055129049494421</v>
      </c>
      <c r="Z78" s="3">
        <f t="shared" si="51"/>
        <v>0</v>
      </c>
    </row>
    <row r="79" ht="12.75">
      <c r="A79" s="8"/>
    </row>
    <row r="80" spans="1:26" ht="12.75">
      <c r="A80" s="8" t="s">
        <v>73</v>
      </c>
      <c r="B80" s="3">
        <f aca="true" t="shared" si="52" ref="B80:Z80">$B$7*$B$8*(B68*B74-B67*B75)</f>
        <v>74.14722941045852</v>
      </c>
      <c r="C80" s="3">
        <f t="shared" si="52"/>
        <v>76.49000998513182</v>
      </c>
      <c r="D80" s="3">
        <f t="shared" si="52"/>
        <v>78.21284321687273</v>
      </c>
      <c r="E80" s="3">
        <f t="shared" si="52"/>
        <v>79.22780114836458</v>
      </c>
      <c r="F80" s="3">
        <f t="shared" si="52"/>
        <v>79.52543749593947</v>
      </c>
      <c r="G80" s="3">
        <f t="shared" si="52"/>
        <v>79.14805308122268</v>
      </c>
      <c r="H80" s="3">
        <f t="shared" si="52"/>
        <v>78.16749273596284</v>
      </c>
      <c r="I80" s="3">
        <f t="shared" si="52"/>
        <v>76.67312765692492</v>
      </c>
      <c r="J80" s="3">
        <f t="shared" si="52"/>
        <v>74.7673356986429</v>
      </c>
      <c r="K80" s="3">
        <f t="shared" si="52"/>
        <v>72.5638351625199</v>
      </c>
      <c r="L80" s="3">
        <f t="shared" si="52"/>
        <v>70.18579886395788</v>
      </c>
      <c r="M80" s="3">
        <f t="shared" si="52"/>
        <v>67.76273363494347</v>
      </c>
      <c r="N80" s="3">
        <f t="shared" si="52"/>
        <v>65.4264027501859</v>
      </c>
      <c r="O80" s="3">
        <f t="shared" si="52"/>
        <v>63.30650577799041</v>
      </c>
      <c r="P80" s="3">
        <f t="shared" si="52"/>
        <v>61.52667658424241</v>
      </c>
      <c r="Q80" s="3">
        <f t="shared" si="52"/>
        <v>60.20087527246854</v>
      </c>
      <c r="R80" s="3">
        <f t="shared" si="52"/>
        <v>59.429619493292265</v>
      </c>
      <c r="S80" s="3">
        <f t="shared" si="52"/>
        <v>59.29487508261708</v>
      </c>
      <c r="T80" s="3">
        <f t="shared" si="52"/>
        <v>59.85201149838216</v>
      </c>
      <c r="U80" s="3">
        <f t="shared" si="52"/>
        <v>61.11743012158088</v>
      </c>
      <c r="V80" s="3">
        <f t="shared" si="52"/>
        <v>63.05201583772032</v>
      </c>
      <c r="W80" s="3">
        <f t="shared" si="52"/>
        <v>65.54422133244877</v>
      </c>
      <c r="X80" s="3">
        <f t="shared" si="52"/>
        <v>68.40192026875417</v>
      </c>
      <c r="Y80" s="3">
        <f t="shared" si="52"/>
        <v>71.36531558832418</v>
      </c>
      <c r="Z80" s="3">
        <f t="shared" si="52"/>
        <v>74.14722941045852</v>
      </c>
    </row>
    <row r="81" spans="1:26" ht="12.75">
      <c r="A81" s="8" t="s">
        <v>74</v>
      </c>
      <c r="B81" s="3">
        <f aca="true" t="shared" si="53" ref="B81:Z81">RADIANS(B20)*$B$6*$B$8*(SIN(B14)*B74-COS(B14)*B75)</f>
        <v>-0.16792267874296812</v>
      </c>
      <c r="C81" s="3">
        <f t="shared" si="53"/>
        <v>-0.1744932444787455</v>
      </c>
      <c r="D81" s="3">
        <f t="shared" si="53"/>
        <v>-0.1661969571480379</v>
      </c>
      <c r="E81" s="3">
        <f t="shared" si="53"/>
        <v>-0.14516518876567874</v>
      </c>
      <c r="F81" s="3">
        <f t="shared" si="53"/>
        <v>-0.11449706317714932</v>
      </c>
      <c r="G81" s="3">
        <f t="shared" si="53"/>
        <v>-0.07747310794915102</v>
      </c>
      <c r="H81" s="3">
        <f t="shared" si="53"/>
        <v>-0.03706808933539675</v>
      </c>
      <c r="I81" s="3">
        <f t="shared" si="53"/>
        <v>0.0042183781384576595</v>
      </c>
      <c r="J81" s="3">
        <f t="shared" si="53"/>
        <v>0.04432719135712269</v>
      </c>
      <c r="K81" s="3">
        <f t="shared" si="53"/>
        <v>0.08152284143908407</v>
      </c>
      <c r="L81" s="3">
        <f t="shared" si="53"/>
        <v>0.11427370794862018</v>
      </c>
      <c r="M81" s="3">
        <f t="shared" si="53"/>
        <v>0.1411682206391714</v>
      </c>
      <c r="N81" s="3">
        <f t="shared" si="53"/>
        <v>0.16088077688307698</v>
      </c>
      <c r="O81" s="3">
        <f t="shared" si="53"/>
        <v>0.17218947777945173</v>
      </c>
      <c r="P81" s="3">
        <f t="shared" si="53"/>
        <v>0.17404278139702806</v>
      </c>
      <c r="Q81" s="3">
        <f t="shared" si="53"/>
        <v>0.16567002046701446</v>
      </c>
      <c r="R81" s="3">
        <f t="shared" si="53"/>
        <v>0.14672937930408914</v>
      </c>
      <c r="S81" s="3">
        <f t="shared" si="53"/>
        <v>0.11748486057909775</v>
      </c>
      <c r="T81" s="3">
        <f t="shared" si="53"/>
        <v>0.07899825258456981</v>
      </c>
      <c r="U81" s="3">
        <f t="shared" si="53"/>
        <v>0.03330799321660561</v>
      </c>
      <c r="V81" s="3">
        <f t="shared" si="53"/>
        <v>-0.016461982425825677</v>
      </c>
      <c r="W81" s="3">
        <f t="shared" si="53"/>
        <v>-0.06616241441112695</v>
      </c>
      <c r="X81" s="3">
        <f t="shared" si="53"/>
        <v>-0.11097476586737365</v>
      </c>
      <c r="Y81" s="3">
        <f t="shared" si="53"/>
        <v>-0.1461372837604307</v>
      </c>
      <c r="Z81" s="3">
        <f t="shared" si="53"/>
        <v>-0.16792267874296812</v>
      </c>
    </row>
    <row r="82" spans="1:26" ht="12.75">
      <c r="A82" s="8" t="s">
        <v>75</v>
      </c>
      <c r="B82" s="3">
        <f aca="true" t="shared" si="54" ref="B82:Z82">RADIANS(B20)*$B$6*$B$8*(SIN(B14)*B67-COS(B14)*B68)</f>
        <v>-0.0773951868724144</v>
      </c>
      <c r="C82" s="3">
        <f t="shared" si="54"/>
        <v>-0.11524621642966272</v>
      </c>
      <c r="D82" s="3">
        <f t="shared" si="54"/>
        <v>-0.14524340679060713</v>
      </c>
      <c r="E82" s="3">
        <f t="shared" si="54"/>
        <v>-0.1653424990048502</v>
      </c>
      <c r="F82" s="3">
        <f t="shared" si="54"/>
        <v>-0.17417377315331165</v>
      </c>
      <c r="G82" s="3">
        <f t="shared" si="54"/>
        <v>-0.17113539249714438</v>
      </c>
      <c r="H82" s="3">
        <f t="shared" si="54"/>
        <v>-0.15643441765690475</v>
      </c>
      <c r="I82" s="3">
        <f t="shared" si="54"/>
        <v>-0.13107269577344552</v>
      </c>
      <c r="J82" s="3">
        <f t="shared" si="54"/>
        <v>-0.09677858628089724</v>
      </c>
      <c r="K82" s="3">
        <f t="shared" si="54"/>
        <v>-0.055889176067481686</v>
      </c>
      <c r="L82" s="3">
        <f t="shared" si="54"/>
        <v>-0.011191010866297632</v>
      </c>
      <c r="M82" s="3">
        <f t="shared" si="54"/>
        <v>0.03426980323140473</v>
      </c>
      <c r="N82" s="3">
        <f t="shared" si="54"/>
        <v>0.07739518687241434</v>
      </c>
      <c r="O82" s="3">
        <f t="shared" si="54"/>
        <v>0.11524621642966269</v>
      </c>
      <c r="P82" s="3">
        <f t="shared" si="54"/>
        <v>0.14524340679060713</v>
      </c>
      <c r="Q82" s="3">
        <f t="shared" si="54"/>
        <v>0.16534249900485024</v>
      </c>
      <c r="R82" s="3">
        <f t="shared" si="54"/>
        <v>0.17417377315331165</v>
      </c>
      <c r="S82" s="3">
        <f t="shared" si="54"/>
        <v>0.1711353924971444</v>
      </c>
      <c r="T82" s="3">
        <f t="shared" si="54"/>
        <v>0.15643441765690475</v>
      </c>
      <c r="U82" s="3">
        <f t="shared" si="54"/>
        <v>0.13107269577344552</v>
      </c>
      <c r="V82" s="3">
        <f t="shared" si="54"/>
        <v>0.09677858628089733</v>
      </c>
      <c r="W82" s="3">
        <f t="shared" si="54"/>
        <v>0.05588917606748163</v>
      </c>
      <c r="X82" s="3">
        <f t="shared" si="54"/>
        <v>0.011191010866297642</v>
      </c>
      <c r="Y82" s="3">
        <f t="shared" si="54"/>
        <v>-0.034269803231404626</v>
      </c>
      <c r="Z82" s="3">
        <f t="shared" si="54"/>
        <v>-0.0773951868724144</v>
      </c>
    </row>
    <row r="83" ht="12.75">
      <c r="A83" s="8"/>
    </row>
    <row r="84" spans="1:26" ht="12.75">
      <c r="A84" s="8" t="s">
        <v>82</v>
      </c>
      <c r="B84" s="3">
        <f aca="true" t="shared" si="55" ref="B84:Z84">-B20*$B$6*SIN(B14-B73)/($B$7*SIN(B66-B73))</f>
        <v>-0.1543951668459695</v>
      </c>
      <c r="C84" s="3">
        <f t="shared" si="55"/>
        <v>-0.15928340808605382</v>
      </c>
      <c r="D84" s="3">
        <f t="shared" si="55"/>
        <v>-0.14922617914830122</v>
      </c>
      <c r="E84" s="3">
        <f t="shared" si="55"/>
        <v>-0.12730270376128958</v>
      </c>
      <c r="F84" s="3">
        <f t="shared" si="55"/>
        <v>-0.09764636770385218</v>
      </c>
      <c r="G84" s="3">
        <f t="shared" si="55"/>
        <v>-0.0641557348107484</v>
      </c>
      <c r="H84" s="3">
        <f t="shared" si="55"/>
        <v>-0.029831061721282363</v>
      </c>
      <c r="I84" s="3">
        <f t="shared" si="55"/>
        <v>0.003307789959694812</v>
      </c>
      <c r="J84" s="3">
        <f t="shared" si="55"/>
        <v>0.03399880513370157</v>
      </c>
      <c r="K84" s="3">
        <f t="shared" si="55"/>
        <v>0.0614454367539355</v>
      </c>
      <c r="L84" s="3">
        <f t="shared" si="55"/>
        <v>0.08507145406041987</v>
      </c>
      <c r="M84" s="3">
        <f t="shared" si="55"/>
        <v>0.10435469134048249</v>
      </c>
      <c r="N84" s="3">
        <f t="shared" si="55"/>
        <v>0.11873265653627395</v>
      </c>
      <c r="O84" s="3">
        <f t="shared" si="55"/>
        <v>0.12756328940563463</v>
      </c>
      <c r="P84" s="3">
        <f t="shared" si="55"/>
        <v>0.13012760045073468</v>
      </c>
      <c r="Q84" s="3">
        <f t="shared" si="55"/>
        <v>0.1256696894048056</v>
      </c>
      <c r="R84" s="3">
        <f t="shared" si="55"/>
        <v>0.11348105322523198</v>
      </c>
      <c r="S84" s="3">
        <f t="shared" si="55"/>
        <v>0.09304832979531032</v>
      </c>
      <c r="T84" s="3">
        <f t="shared" si="55"/>
        <v>0.06429149050287997</v>
      </c>
      <c r="U84" s="3">
        <f t="shared" si="55"/>
        <v>0.027909542347450314</v>
      </c>
      <c r="V84" s="3">
        <f t="shared" si="55"/>
        <v>-0.014201479833255379</v>
      </c>
      <c r="W84" s="3">
        <f t="shared" si="55"/>
        <v>-0.05861102046395563</v>
      </c>
      <c r="X84" s="3">
        <f t="shared" si="55"/>
        <v>-0.10040280493002993</v>
      </c>
      <c r="Y84" s="3">
        <f t="shared" si="55"/>
        <v>-0.1339459016118174</v>
      </c>
      <c r="Z84" s="3">
        <f t="shared" si="55"/>
        <v>-0.15439516684596946</v>
      </c>
    </row>
    <row r="85" spans="1:26" ht="12.75">
      <c r="A85" s="8" t="s">
        <v>83</v>
      </c>
      <c r="B85" s="3">
        <f aca="true" t="shared" si="56" ref="B85:Z85">-B20*$B$6*SIN(B14-B66)/($B$8*SIN(B66-B73))</f>
        <v>-0.148012304608113</v>
      </c>
      <c r="C85" s="3">
        <f t="shared" si="56"/>
        <v>-0.12186672844679672</v>
      </c>
      <c r="D85" s="3">
        <f t="shared" si="56"/>
        <v>-0.08435949838702937</v>
      </c>
      <c r="E85" s="3">
        <f t="shared" si="56"/>
        <v>-0.04085776668647117</v>
      </c>
      <c r="F85" s="3">
        <f t="shared" si="56"/>
        <v>0.0031473790959861366</v>
      </c>
      <c r="G85" s="3">
        <f t="shared" si="56"/>
        <v>0.04328769383713193</v>
      </c>
      <c r="H85" s="3">
        <f t="shared" si="56"/>
        <v>0.07677057575689719</v>
      </c>
      <c r="I85" s="3">
        <f t="shared" si="56"/>
        <v>0.10222906429074881</v>
      </c>
      <c r="J85" s="3">
        <f t="shared" si="56"/>
        <v>0.11932370787147685</v>
      </c>
      <c r="K85" s="3">
        <f t="shared" si="56"/>
        <v>0.12834329011182463</v>
      </c>
      <c r="L85" s="3">
        <f t="shared" si="56"/>
        <v>0.12990212731959483</v>
      </c>
      <c r="M85" s="3">
        <f t="shared" si="56"/>
        <v>0.12474129629382362</v>
      </c>
      <c r="N85" s="3">
        <f t="shared" si="56"/>
        <v>0.11360926963462371</v>
      </c>
      <c r="O85" s="3">
        <f t="shared" si="56"/>
        <v>0.09719695119907132</v>
      </c>
      <c r="P85" s="3">
        <f t="shared" si="56"/>
        <v>0.07611275587669386</v>
      </c>
      <c r="Q85" s="3">
        <f t="shared" si="56"/>
        <v>0.050895617060236875</v>
      </c>
      <c r="R85" s="3">
        <f t="shared" si="56"/>
        <v>0.02207433401914638</v>
      </c>
      <c r="S85" s="3">
        <f t="shared" si="56"/>
        <v>-0.009711181468259328</v>
      </c>
      <c r="T85" s="3">
        <f t="shared" si="56"/>
        <v>-0.043511640751716</v>
      </c>
      <c r="U85" s="3">
        <f t="shared" si="56"/>
        <v>-0.07779691862432289</v>
      </c>
      <c r="V85" s="3">
        <f t="shared" si="56"/>
        <v>-0.11017111191604305</v>
      </c>
      <c r="W85" s="3">
        <f t="shared" si="56"/>
        <v>-0.1372376741546158</v>
      </c>
      <c r="X85" s="3">
        <f t="shared" si="56"/>
        <v>-0.15488559416095327</v>
      </c>
      <c r="Y85" s="3">
        <f t="shared" si="56"/>
        <v>-0.15922364316293527</v>
      </c>
      <c r="Z85" s="3">
        <f t="shared" si="56"/>
        <v>-0.14801230460811302</v>
      </c>
    </row>
    <row r="86" ht="12.75">
      <c r="A86" s="8"/>
    </row>
    <row r="87" spans="1:26" ht="12.75">
      <c r="A87" s="8" t="s">
        <v>45</v>
      </c>
      <c r="B87" s="3">
        <f aca="true" t="shared" si="57" ref="B87:Z87">B19*$B$6*SIN(B14)+B20^2*$B$6*COS(B14)+B84^2*$B$7*COS(B66)-B85^2*$B$8*COS(B73)</f>
        <v>1.1497655114098946</v>
      </c>
      <c r="C87" s="3">
        <f t="shared" si="57"/>
        <v>1.0893812309759285</v>
      </c>
      <c r="D87" s="3">
        <f t="shared" si="57"/>
        <v>0.9494560206533402</v>
      </c>
      <c r="E87" s="3">
        <f t="shared" si="57"/>
        <v>0.7456023640443576</v>
      </c>
      <c r="F87" s="3">
        <f t="shared" si="57"/>
        <v>0.499088326877731</v>
      </c>
      <c r="G87" s="3">
        <f t="shared" si="57"/>
        <v>0.23277936668560975</v>
      </c>
      <c r="H87" s="3">
        <f t="shared" si="57"/>
        <v>-0.03235435165936283</v>
      </c>
      <c r="I87" s="3">
        <f t="shared" si="57"/>
        <v>-0.2790787649481814</v>
      </c>
      <c r="J87" s="3">
        <f t="shared" si="57"/>
        <v>-0.4941752982404672</v>
      </c>
      <c r="K87" s="3">
        <f t="shared" si="57"/>
        <v>-0.66789926896937</v>
      </c>
      <c r="L87" s="3">
        <f t="shared" si="57"/>
        <v>-0.7932974583647571</v>
      </c>
      <c r="M87" s="3">
        <f t="shared" si="57"/>
        <v>-0.8657225694525597</v>
      </c>
      <c r="N87" s="3">
        <f t="shared" si="57"/>
        <v>-0.8825940600955936</v>
      </c>
      <c r="O87" s="3">
        <f t="shared" si="57"/>
        <v>-0.8433193464284892</v>
      </c>
      <c r="P87" s="3">
        <f t="shared" si="57"/>
        <v>-0.749282569196916</v>
      </c>
      <c r="Q87" s="3">
        <f t="shared" si="57"/>
        <v>-0.6038750160375765</v>
      </c>
      <c r="R87" s="3">
        <f t="shared" si="57"/>
        <v>-0.41262503834204217</v>
      </c>
      <c r="S87" s="3">
        <f t="shared" si="57"/>
        <v>-0.18352962243992194</v>
      </c>
      <c r="T87" s="3">
        <f t="shared" si="57"/>
        <v>0.07236247146373521</v>
      </c>
      <c r="U87" s="3">
        <f t="shared" si="57"/>
        <v>0.34026378074462044</v>
      </c>
      <c r="V87" s="3">
        <f t="shared" si="57"/>
        <v>0.6013384362305516</v>
      </c>
      <c r="W87" s="3">
        <f t="shared" si="57"/>
        <v>0.8335346940239438</v>
      </c>
      <c r="X87" s="3">
        <f t="shared" si="57"/>
        <v>1.0141389440024855</v>
      </c>
      <c r="Y87" s="3">
        <f t="shared" si="57"/>
        <v>1.1236840943858146</v>
      </c>
      <c r="Z87" s="3">
        <f t="shared" si="57"/>
        <v>1.1497655114098946</v>
      </c>
    </row>
    <row r="88" spans="1:26" ht="12.75">
      <c r="A88" s="8" t="s">
        <v>46</v>
      </c>
      <c r="B88" s="3">
        <f aca="true" t="shared" si="58" ref="B88:Z88">-B19*$B$6*COS(B14)+B20^2*$B$6*SIN(B14)+B84^2*$B$7*SIN(B66)-B85^2*$B$8*SIN(B73)</f>
        <v>0.06935874182992308</v>
      </c>
      <c r="C88" s="3">
        <f t="shared" si="58"/>
        <v>0.40189560090050314</v>
      </c>
      <c r="D88" s="3">
        <f t="shared" si="58"/>
        <v>0.6787151808233683</v>
      </c>
      <c r="E88" s="3">
        <f t="shared" si="58"/>
        <v>0.8719777312192961</v>
      </c>
      <c r="F88" s="3">
        <f t="shared" si="58"/>
        <v>0.9749319064104685</v>
      </c>
      <c r="G88" s="3">
        <f t="shared" si="58"/>
        <v>0.9958431586115801</v>
      </c>
      <c r="H88" s="3">
        <f t="shared" si="58"/>
        <v>0.9494673404757441</v>
      </c>
      <c r="I88" s="3">
        <f t="shared" si="58"/>
        <v>0.8510066052731908</v>
      </c>
      <c r="J88" s="3">
        <f t="shared" si="58"/>
        <v>0.7134858608932568</v>
      </c>
      <c r="K88" s="3">
        <f t="shared" si="58"/>
        <v>0.5474139977129204</v>
      </c>
      <c r="L88" s="3">
        <f t="shared" si="58"/>
        <v>0.3614115682479137</v>
      </c>
      <c r="M88" s="3">
        <f t="shared" si="58"/>
        <v>0.1629864137287505</v>
      </c>
      <c r="N88" s="3">
        <f t="shared" si="58"/>
        <v>-0.04088208589935391</v>
      </c>
      <c r="O88" s="3">
        <f t="shared" si="58"/>
        <v>-0.24339368878739737</v>
      </c>
      <c r="P88" s="3">
        <f t="shared" si="58"/>
        <v>-0.4377067930386596</v>
      </c>
      <c r="Q88" s="3">
        <f t="shared" si="58"/>
        <v>-0.6166844129643942</v>
      </c>
      <c r="R88" s="3">
        <f t="shared" si="58"/>
        <v>-0.7724577777462605</v>
      </c>
      <c r="S88" s="3">
        <f t="shared" si="58"/>
        <v>-0.8957477058591105</v>
      </c>
      <c r="T88" s="3">
        <f t="shared" si="58"/>
        <v>-0.9750845686053223</v>
      </c>
      <c r="U88" s="3">
        <f t="shared" si="58"/>
        <v>-0.9964372240201448</v>
      </c>
      <c r="V88" s="3">
        <f t="shared" si="58"/>
        <v>-0.9442903780570298</v>
      </c>
      <c r="W88" s="3">
        <f t="shared" si="58"/>
        <v>-0.8055612079399568</v>
      </c>
      <c r="X88" s="3">
        <f t="shared" si="58"/>
        <v>-0.5769489903185584</v>
      </c>
      <c r="Y88" s="3">
        <f t="shared" si="58"/>
        <v>-0.27329927289072825</v>
      </c>
      <c r="Z88" s="3">
        <f t="shared" si="58"/>
        <v>0.06935874182992294</v>
      </c>
    </row>
    <row r="89" spans="1:26" ht="12.75">
      <c r="A89" s="8" t="s">
        <v>78</v>
      </c>
      <c r="B89" s="3">
        <f aca="true" t="shared" si="59" ref="B89:Z89">$B$7*$B$8*(B68*B75+B67*B74)</f>
        <v>67.09834849497291</v>
      </c>
      <c r="C89" s="3">
        <f t="shared" si="59"/>
        <v>64.41489247429071</v>
      </c>
      <c r="D89" s="3">
        <f t="shared" si="59"/>
        <v>62.3117256696754</v>
      </c>
      <c r="E89" s="3">
        <f t="shared" si="59"/>
        <v>61.01602678964929</v>
      </c>
      <c r="F89" s="3">
        <f t="shared" si="59"/>
        <v>60.62759100508137</v>
      </c>
      <c r="G89" s="3">
        <f t="shared" si="59"/>
        <v>61.1194379346862</v>
      </c>
      <c r="H89" s="3">
        <f t="shared" si="59"/>
        <v>62.368606521015</v>
      </c>
      <c r="I89" s="3">
        <f t="shared" si="59"/>
        <v>64.19681842042402</v>
      </c>
      <c r="J89" s="3">
        <f t="shared" si="59"/>
        <v>66.40666768123845</v>
      </c>
      <c r="K89" s="3">
        <f t="shared" si="59"/>
        <v>68.80762913010912</v>
      </c>
      <c r="L89" s="3">
        <f t="shared" si="59"/>
        <v>71.23168984256971</v>
      </c>
      <c r="M89" s="3">
        <f t="shared" si="59"/>
        <v>73.5405461654977</v>
      </c>
      <c r="N89" s="3">
        <f t="shared" si="59"/>
        <v>75.62662112755315</v>
      </c>
      <c r="O89" s="3">
        <f t="shared" si="59"/>
        <v>77.40985936029898</v>
      </c>
      <c r="P89" s="3">
        <f t="shared" si="59"/>
        <v>78.83189753201452</v>
      </c>
      <c r="Q89" s="3">
        <f t="shared" si="59"/>
        <v>79.8489487496779</v>
      </c>
      <c r="R89" s="3">
        <f t="shared" si="59"/>
        <v>80.424625127398</v>
      </c>
      <c r="S89" s="3">
        <f t="shared" si="59"/>
        <v>80.52401995017905</v>
      </c>
      <c r="T89" s="3">
        <f t="shared" si="59"/>
        <v>80.11077779922954</v>
      </c>
      <c r="U89" s="3">
        <f t="shared" si="59"/>
        <v>79.14960350711604</v>
      </c>
      <c r="V89" s="3">
        <f t="shared" si="59"/>
        <v>77.61728737079044</v>
      </c>
      <c r="W89" s="3">
        <f t="shared" si="59"/>
        <v>75.52453276865052</v>
      </c>
      <c r="X89" s="3">
        <f t="shared" si="59"/>
        <v>72.94640020965393</v>
      </c>
      <c r="Y89" s="3">
        <f t="shared" si="59"/>
        <v>70.04992313328327</v>
      </c>
      <c r="Z89" s="3">
        <f t="shared" si="59"/>
        <v>67.09834849497291</v>
      </c>
    </row>
    <row r="90" spans="1:26" ht="12.75">
      <c r="A90" s="8" t="s">
        <v>77</v>
      </c>
      <c r="B90" s="3">
        <f aca="true" t="shared" si="60" ref="B90:Z90">$B$8*(B87*B74+B88*B75)</f>
        <v>-3.052463134821344</v>
      </c>
      <c r="C90" s="3">
        <f t="shared" si="60"/>
        <v>0.7031749056004705</v>
      </c>
      <c r="D90" s="3">
        <f t="shared" si="60"/>
        <v>4.056437555758126</v>
      </c>
      <c r="E90" s="3">
        <f t="shared" si="60"/>
        <v>6.61166874607583</v>
      </c>
      <c r="F90" s="3">
        <f t="shared" si="60"/>
        <v>8.252692507909217</v>
      </c>
      <c r="G90" s="3">
        <f t="shared" si="60"/>
        <v>9.070611980015366</v>
      </c>
      <c r="H90" s="3">
        <f t="shared" si="60"/>
        <v>9.244979854653847</v>
      </c>
      <c r="I90" s="3">
        <f t="shared" si="60"/>
        <v>8.952747575263096</v>
      </c>
      <c r="J90" s="3">
        <f t="shared" si="60"/>
        <v>8.325136561143623</v>
      </c>
      <c r="K90" s="3">
        <f t="shared" si="60"/>
        <v>7.440194849786311</v>
      </c>
      <c r="L90" s="3">
        <f t="shared" si="60"/>
        <v>6.333164690288456</v>
      </c>
      <c r="M90" s="3">
        <f t="shared" si="60"/>
        <v>5.012417012871214</v>
      </c>
      <c r="N90" s="3">
        <f t="shared" si="60"/>
        <v>3.475019405792045</v>
      </c>
      <c r="O90" s="3">
        <f t="shared" si="60"/>
        <v>1.7200211560309122</v>
      </c>
      <c r="P90" s="3">
        <f t="shared" si="60"/>
        <v>-0.2403392491380324</v>
      </c>
      <c r="Q90" s="3">
        <f t="shared" si="60"/>
        <v>-2.3702088439822253</v>
      </c>
      <c r="R90" s="3">
        <f t="shared" si="60"/>
        <v>-4.598771724005575</v>
      </c>
      <c r="S90" s="3">
        <f t="shared" si="60"/>
        <v>-6.806846921303709</v>
      </c>
      <c r="T90" s="3">
        <f t="shared" si="60"/>
        <v>-8.812783093385098</v>
      </c>
      <c r="U90" s="3">
        <f t="shared" si="60"/>
        <v>-10.364607879255068</v>
      </c>
      <c r="V90" s="3">
        <f t="shared" si="60"/>
        <v>-11.154108907188125</v>
      </c>
      <c r="W90" s="3">
        <f t="shared" si="60"/>
        <v>-10.875046412116856</v>
      </c>
      <c r="X90" s="3">
        <f t="shared" si="60"/>
        <v>-9.337011647203033</v>
      </c>
      <c r="Y90" s="3">
        <f t="shared" si="60"/>
        <v>-6.602173452098925</v>
      </c>
      <c r="Z90" s="3">
        <f t="shared" si="60"/>
        <v>-3.0524631348213456</v>
      </c>
    </row>
    <row r="91" spans="1:26" ht="12.75">
      <c r="A91" s="8" t="s">
        <v>76</v>
      </c>
      <c r="B91" s="3">
        <f aca="true" t="shared" si="61" ref="B91:Z91">$B$7*(B87*B67-B88*B68)</f>
        <v>-10.83270747583515</v>
      </c>
      <c r="C91" s="3">
        <f t="shared" si="61"/>
        <v>-11.594806081717138</v>
      </c>
      <c r="D91" s="3">
        <f t="shared" si="61"/>
        <v>-11.40589529929603</v>
      </c>
      <c r="E91" s="3">
        <f t="shared" si="61"/>
        <v>-10.299117304492103</v>
      </c>
      <c r="F91" s="3">
        <f t="shared" si="61"/>
        <v>-8.443042808338543</v>
      </c>
      <c r="G91" s="3">
        <f t="shared" si="61"/>
        <v>-6.080366375435961</v>
      </c>
      <c r="H91" s="3">
        <f t="shared" si="61"/>
        <v>-3.4620755518275925</v>
      </c>
      <c r="I91" s="3">
        <f t="shared" si="61"/>
        <v>-0.8066169214926788</v>
      </c>
      <c r="J91" s="3">
        <f t="shared" si="61"/>
        <v>1.7130567311868306</v>
      </c>
      <c r="K91" s="3">
        <f t="shared" si="61"/>
        <v>3.965854323621043</v>
      </c>
      <c r="L91" s="3">
        <f t="shared" si="61"/>
        <v>5.853794709261741</v>
      </c>
      <c r="M91" s="3">
        <f t="shared" si="61"/>
        <v>7.304477128304569</v>
      </c>
      <c r="N91" s="3">
        <f t="shared" si="61"/>
        <v>8.266571785982963</v>
      </c>
      <c r="O91" s="3">
        <f t="shared" si="61"/>
        <v>8.70771321891397</v>
      </c>
      <c r="P91" s="3">
        <f t="shared" si="61"/>
        <v>8.613524130717591</v>
      </c>
      <c r="Q91" s="3">
        <f t="shared" si="61"/>
        <v>7.986889010685978</v>
      </c>
      <c r="R91" s="3">
        <f t="shared" si="61"/>
        <v>6.847419315329269</v>
      </c>
      <c r="S91" s="3">
        <f t="shared" si="61"/>
        <v>5.231811380138915</v>
      </c>
      <c r="T91" s="3">
        <f t="shared" si="61"/>
        <v>3.1961129235213748</v>
      </c>
      <c r="U91" s="3">
        <f t="shared" si="61"/>
        <v>0.8205618493770617</v>
      </c>
      <c r="V91" s="3">
        <f t="shared" si="61"/>
        <v>-1.783304249307391</v>
      </c>
      <c r="W91" s="3">
        <f t="shared" si="61"/>
        <v>-4.46478618998486</v>
      </c>
      <c r="X91" s="3">
        <f t="shared" si="61"/>
        <v>-7.028377194656857</v>
      </c>
      <c r="Y91" s="3">
        <f t="shared" si="61"/>
        <v>-9.236537053509998</v>
      </c>
      <c r="Z91" s="3">
        <f t="shared" si="61"/>
        <v>-10.83270747583515</v>
      </c>
    </row>
    <row r="92" ht="12.75">
      <c r="A92" s="8"/>
    </row>
    <row r="93" spans="1:26" ht="12.75" customHeight="1">
      <c r="A93" s="8" t="s">
        <v>47</v>
      </c>
      <c r="B93" s="3">
        <f aca="true" t="shared" si="62" ref="B93:Z93">(B87*COS(B73)+B88*SIN(B73))/($B$7*SIN(B73-B66))</f>
        <v>-0.04898376272503404</v>
      </c>
      <c r="C93" s="3">
        <f t="shared" si="62"/>
        <v>0.01120295657901487</v>
      </c>
      <c r="D93" s="3">
        <f t="shared" si="62"/>
        <v>0.06356881468875218</v>
      </c>
      <c r="E93" s="3">
        <f t="shared" si="62"/>
        <v>0.10119605880868114</v>
      </c>
      <c r="F93" s="3">
        <f t="shared" si="62"/>
        <v>0.12283857703523646</v>
      </c>
      <c r="G93" s="3">
        <f t="shared" si="62"/>
        <v>0.13109872309663131</v>
      </c>
      <c r="H93" s="3">
        <f t="shared" si="62"/>
        <v>0.12985295777602715</v>
      </c>
      <c r="I93" s="3">
        <f t="shared" si="62"/>
        <v>0.12252539865642299</v>
      </c>
      <c r="J93" s="3">
        <f t="shared" si="62"/>
        <v>0.11144540671805704</v>
      </c>
      <c r="K93" s="3">
        <f t="shared" si="62"/>
        <v>0.0978750516135351</v>
      </c>
      <c r="L93" s="3">
        <f t="shared" si="62"/>
        <v>0.08228784438677096</v>
      </c>
      <c r="M93" s="3">
        <f t="shared" si="62"/>
        <v>0.06466951444428705</v>
      </c>
      <c r="N93" s="3">
        <f t="shared" si="62"/>
        <v>0.04476108774899217</v>
      </c>
      <c r="O93" s="3">
        <f t="shared" si="62"/>
        <v>0.022239768233342692</v>
      </c>
      <c r="P93" s="3">
        <f t="shared" si="62"/>
        <v>-0.00313628466036136</v>
      </c>
      <c r="Q93" s="3">
        <f t="shared" si="62"/>
        <v>-0.03137983081027014</v>
      </c>
      <c r="R93" s="3">
        <f t="shared" si="62"/>
        <v>-0.062076253424680705</v>
      </c>
      <c r="S93" s="3">
        <f t="shared" si="62"/>
        <v>-0.09409142104750408</v>
      </c>
      <c r="T93" s="3">
        <f t="shared" si="62"/>
        <v>-0.12517755313535298</v>
      </c>
      <c r="U93" s="3">
        <f t="shared" si="62"/>
        <v>-0.1515774132717808</v>
      </c>
      <c r="V93" s="3">
        <f t="shared" si="62"/>
        <v>-0.1679436995676246</v>
      </c>
      <c r="W93" s="3">
        <f t="shared" si="62"/>
        <v>-0.1681420834087018</v>
      </c>
      <c r="X93" s="3">
        <f t="shared" si="62"/>
        <v>-0.1474371327596998</v>
      </c>
      <c r="Y93" s="3">
        <f t="shared" si="62"/>
        <v>-0.10561672497474071</v>
      </c>
      <c r="Z93" s="3">
        <f t="shared" si="62"/>
        <v>-0.04898376272503407</v>
      </c>
    </row>
    <row r="94" spans="1:26" ht="12.75">
      <c r="A94" s="8" t="s">
        <v>48</v>
      </c>
      <c r="B94" s="3">
        <f aca="true" t="shared" si="63" ref="B94:Z94">(B87*COS(B66)+B88*SIN(B66))/($B$8*SIN(B73-B66))</f>
        <v>0.07275737211145374</v>
      </c>
      <c r="C94" s="3">
        <f t="shared" si="63"/>
        <v>0.12462326500701663</v>
      </c>
      <c r="D94" s="3">
        <f t="shared" si="63"/>
        <v>0.1583778395201382</v>
      </c>
      <c r="E94" s="3">
        <f t="shared" si="63"/>
        <v>0.17037261491309214</v>
      </c>
      <c r="F94" s="3">
        <f t="shared" si="63"/>
        <v>0.16299471707577687</v>
      </c>
      <c r="G94" s="3">
        <f t="shared" si="63"/>
        <v>0.14189006554508607</v>
      </c>
      <c r="H94" s="3">
        <f t="shared" si="63"/>
        <v>0.11305768066907156</v>
      </c>
      <c r="I94" s="3">
        <f t="shared" si="63"/>
        <v>0.08124093395311126</v>
      </c>
      <c r="J94" s="3">
        <f t="shared" si="63"/>
        <v>0.049555613360596336</v>
      </c>
      <c r="K94" s="3">
        <f t="shared" si="63"/>
        <v>0.01975239223388861</v>
      </c>
      <c r="L94" s="3">
        <f t="shared" si="63"/>
        <v>-0.007364611131145289</v>
      </c>
      <c r="M94" s="3">
        <f t="shared" si="63"/>
        <v>-0.03158073682254155</v>
      </c>
      <c r="N94" s="3">
        <f t="shared" si="63"/>
        <v>-0.053020269224059356</v>
      </c>
      <c r="O94" s="3">
        <f t="shared" si="63"/>
        <v>-0.0719740260582057</v>
      </c>
      <c r="P94" s="3">
        <f t="shared" si="63"/>
        <v>-0.08875789289416772</v>
      </c>
      <c r="Q94" s="3">
        <f t="shared" si="63"/>
        <v>-0.10355776915141561</v>
      </c>
      <c r="R94" s="3">
        <f t="shared" si="63"/>
        <v>-0.1162258347611402</v>
      </c>
      <c r="S94" s="3">
        <f t="shared" si="63"/>
        <v>-0.1260110196663378</v>
      </c>
      <c r="T94" s="3">
        <f t="shared" si="63"/>
        <v>-0.13125094627938003</v>
      </c>
      <c r="U94" s="3">
        <f t="shared" si="63"/>
        <v>-0.12915525557130866</v>
      </c>
      <c r="V94" s="3">
        <f t="shared" si="63"/>
        <v>-0.11598749160193679</v>
      </c>
      <c r="W94" s="3">
        <f t="shared" si="63"/>
        <v>-0.08810832363107382</v>
      </c>
      <c r="X94" s="3">
        <f t="shared" si="63"/>
        <v>-0.044136174367515726</v>
      </c>
      <c r="Y94" s="3">
        <f t="shared" si="63"/>
        <v>0.01250785677099683</v>
      </c>
      <c r="Z94" s="3">
        <f t="shared" si="63"/>
        <v>0.07275737211145372</v>
      </c>
    </row>
    <row r="95" ht="12.75">
      <c r="A95" s="8"/>
    </row>
    <row r="96" spans="1:3" ht="12.75">
      <c r="A96" s="39" t="s">
        <v>113</v>
      </c>
      <c r="B96" s="37"/>
      <c r="C96" s="18" t="s">
        <v>112</v>
      </c>
    </row>
    <row r="97" spans="1:26" ht="12.75">
      <c r="A97" s="8" t="s">
        <v>27</v>
      </c>
      <c r="B97" s="3">
        <f aca="true" t="shared" si="64" ref="B97:Z97">B26+($F$3-$D$3)*B70-($F$4-$D$4)*B71</f>
        <v>4.374149453370722</v>
      </c>
      <c r="C97" s="3">
        <f t="shared" si="64"/>
        <v>4.71332317559276</v>
      </c>
      <c r="D97" s="3">
        <f t="shared" si="64"/>
        <v>4.974664663515385</v>
      </c>
      <c r="E97" s="3">
        <f t="shared" si="64"/>
        <v>5.133831198425028</v>
      </c>
      <c r="F97" s="3">
        <f t="shared" si="64"/>
        <v>5.181284759438098</v>
      </c>
      <c r="G97" s="3">
        <f t="shared" si="64"/>
        <v>5.121177704440054</v>
      </c>
      <c r="H97" s="3">
        <f t="shared" si="64"/>
        <v>4.967645853253853</v>
      </c>
      <c r="I97" s="3">
        <f t="shared" si="64"/>
        <v>4.740598629741849</v>
      </c>
      <c r="J97" s="3">
        <f t="shared" si="64"/>
        <v>4.462216879379089</v>
      </c>
      <c r="K97" s="3">
        <f t="shared" si="64"/>
        <v>4.154498594424377</v>
      </c>
      <c r="L97" s="3">
        <f t="shared" si="64"/>
        <v>3.8377488340612143</v>
      </c>
      <c r="M97" s="3">
        <f t="shared" si="64"/>
        <v>3.5297952858732433</v>
      </c>
      <c r="N97" s="3">
        <f t="shared" si="64"/>
        <v>3.24573339739067</v>
      </c>
      <c r="O97" s="3">
        <f t="shared" si="64"/>
        <v>2.998049647397437</v>
      </c>
      <c r="P97" s="3">
        <f t="shared" si="64"/>
        <v>2.7969984158718773</v>
      </c>
      <c r="Q97" s="3">
        <f t="shared" si="64"/>
        <v>2.6511125449367063</v>
      </c>
      <c r="R97" s="3">
        <f t="shared" si="64"/>
        <v>2.567713218107878</v>
      </c>
      <c r="S97" s="3">
        <f t="shared" si="64"/>
        <v>2.553251092524759</v>
      </c>
      <c r="T97" s="3">
        <f t="shared" si="64"/>
        <v>2.6132568398085345</v>
      </c>
      <c r="U97" s="3">
        <f t="shared" si="64"/>
        <v>2.751620926351563</v>
      </c>
      <c r="V97" s="3">
        <f t="shared" si="64"/>
        <v>2.9689259934740657</v>
      </c>
      <c r="W97" s="3">
        <f t="shared" si="64"/>
        <v>3.2597727296436294</v>
      </c>
      <c r="X97" s="3">
        <f t="shared" si="64"/>
        <v>3.609661692646705</v>
      </c>
      <c r="Y97" s="3">
        <f t="shared" si="64"/>
        <v>3.992968470330511</v>
      </c>
      <c r="Z97" s="3">
        <f t="shared" si="64"/>
        <v>4.374149453370722</v>
      </c>
    </row>
    <row r="98" spans="1:26" ht="12.75">
      <c r="A98" s="8" t="s">
        <v>28</v>
      </c>
      <c r="B98" s="3">
        <f aca="true" t="shared" si="65" ref="B98:Z98">B27+($F$3-$D$3)*B71+($F$4-$D$4)*B70</f>
        <v>9.465404811777022</v>
      </c>
      <c r="C98" s="3">
        <f t="shared" si="65"/>
        <v>9.57429354633699</v>
      </c>
      <c r="D98" s="3">
        <f t="shared" si="65"/>
        <v>9.6492286930617</v>
      </c>
      <c r="E98" s="3">
        <f t="shared" si="65"/>
        <v>9.691130555417065</v>
      </c>
      <c r="F98" s="3">
        <f t="shared" si="65"/>
        <v>9.703082839235867</v>
      </c>
      <c r="G98" s="3">
        <f t="shared" si="65"/>
        <v>9.687901735000978</v>
      </c>
      <c r="H98" s="3">
        <f t="shared" si="65"/>
        <v>9.64731629242601</v>
      </c>
      <c r="I98" s="3">
        <f t="shared" si="65"/>
        <v>9.582474826670081</v>
      </c>
      <c r="J98" s="3">
        <f t="shared" si="65"/>
        <v>9.49496272177761</v>
      </c>
      <c r="K98" s="3">
        <f t="shared" si="65"/>
        <v>9.38767916282701</v>
      </c>
      <c r="L98" s="3">
        <f t="shared" si="65"/>
        <v>9.265282843194385</v>
      </c>
      <c r="M98" s="3">
        <f t="shared" si="65"/>
        <v>9.134190362867436</v>
      </c>
      <c r="N98" s="3">
        <f t="shared" si="65"/>
        <v>9.00224207369481</v>
      </c>
      <c r="O98" s="3">
        <f t="shared" si="65"/>
        <v>8.878178470394767</v>
      </c>
      <c r="P98" s="3">
        <f t="shared" si="65"/>
        <v>8.771041886963188</v>
      </c>
      <c r="Q98" s="3">
        <f t="shared" si="65"/>
        <v>8.689563450318849</v>
      </c>
      <c r="R98" s="3">
        <f t="shared" si="65"/>
        <v>8.641532835370924</v>
      </c>
      <c r="S98" s="3">
        <f t="shared" si="65"/>
        <v>8.633094779098482</v>
      </c>
      <c r="T98" s="3">
        <f t="shared" si="65"/>
        <v>8.667894361047765</v>
      </c>
      <c r="U98" s="3">
        <f t="shared" si="65"/>
        <v>8.746040267355735</v>
      </c>
      <c r="V98" s="3">
        <f t="shared" si="65"/>
        <v>8.863021693873925</v>
      </c>
      <c r="W98" s="3">
        <f t="shared" si="65"/>
        <v>9.009019216410568</v>
      </c>
      <c r="X98" s="3">
        <f t="shared" si="65"/>
        <v>9.169362038488218</v>
      </c>
      <c r="Y98" s="3">
        <f t="shared" si="65"/>
        <v>9.326806717412458</v>
      </c>
      <c r="Z98" s="3">
        <f t="shared" si="65"/>
        <v>9.465404811777022</v>
      </c>
    </row>
    <row r="99" spans="1:26" ht="12.75">
      <c r="A99" s="8" t="s">
        <v>84</v>
      </c>
      <c r="B99" s="3">
        <f aca="true" t="shared" si="66" ref="B99:Z99">B28-B84*(B98-B27)</f>
        <v>1.4009963802398393</v>
      </c>
      <c r="C99" s="3">
        <f t="shared" si="66"/>
        <v>1.1667878316813685</v>
      </c>
      <c r="D99" s="3">
        <f t="shared" si="66"/>
        <v>0.8140040923684162</v>
      </c>
      <c r="E99" s="3">
        <f t="shared" si="66"/>
        <v>0.3959579511613621</v>
      </c>
      <c r="F99" s="3">
        <f t="shared" si="66"/>
        <v>-0.030539280094832977</v>
      </c>
      <c r="G99" s="3">
        <f t="shared" si="66"/>
        <v>-0.4193669242289414</v>
      </c>
      <c r="H99" s="3">
        <f t="shared" si="66"/>
        <v>-0.7406300262784398</v>
      </c>
      <c r="I99" s="3">
        <f t="shared" si="66"/>
        <v>-0.9796074351201377</v>
      </c>
      <c r="J99" s="3">
        <f t="shared" si="66"/>
        <v>-1.1329741580639543</v>
      </c>
      <c r="K99" s="3">
        <f t="shared" si="66"/>
        <v>-1.2048456302714379</v>
      </c>
      <c r="L99" s="3">
        <f t="shared" si="66"/>
        <v>-1.2035799515486942</v>
      </c>
      <c r="M99" s="3">
        <f t="shared" si="66"/>
        <v>-1.1394107464586356</v>
      </c>
      <c r="N99" s="3">
        <f t="shared" si="66"/>
        <v>-1.0227381470665475</v>
      </c>
      <c r="O99" s="3">
        <f t="shared" si="66"/>
        <v>-0.8629318795236056</v>
      </c>
      <c r="P99" s="3">
        <f t="shared" si="66"/>
        <v>-0.6675881699266857</v>
      </c>
      <c r="Q99" s="3">
        <f t="shared" si="66"/>
        <v>-0.442260693788059</v>
      </c>
      <c r="R99" s="3">
        <f t="shared" si="66"/>
        <v>-0.1907560822453993</v>
      </c>
      <c r="S99" s="3">
        <f t="shared" si="66"/>
        <v>0.0838375500325077</v>
      </c>
      <c r="T99" s="3">
        <f t="shared" si="66"/>
        <v>0.37715430551173557</v>
      </c>
      <c r="U99" s="3">
        <f t="shared" si="66"/>
        <v>0.680414982964525</v>
      </c>
      <c r="V99" s="3">
        <f t="shared" si="66"/>
        <v>0.9764489549501011</v>
      </c>
      <c r="W99" s="3">
        <f t="shared" si="66"/>
        <v>1.2363768436744258</v>
      </c>
      <c r="X99" s="3">
        <f t="shared" si="66"/>
        <v>1.4202020874081378</v>
      </c>
      <c r="Y99" s="3">
        <f t="shared" si="66"/>
        <v>1.4850481446229482</v>
      </c>
      <c r="Z99" s="3">
        <f t="shared" si="66"/>
        <v>1.4009963802398393</v>
      </c>
    </row>
    <row r="100" spans="1:26" ht="12.75">
      <c r="A100" s="8" t="s">
        <v>85</v>
      </c>
      <c r="B100" s="3">
        <f aca="true" t="shared" si="67" ref="B100:Z100">B29+B84*(B97-B26)</f>
        <v>0.4774655737279402</v>
      </c>
      <c r="C100" s="3">
        <f t="shared" si="67"/>
        <v>0.35178986067369855</v>
      </c>
      <c r="D100" s="3">
        <f t="shared" si="67"/>
        <v>0.22147197208358493</v>
      </c>
      <c r="E100" s="3">
        <f t="shared" si="67"/>
        <v>0.10076214950420437</v>
      </c>
      <c r="F100" s="3">
        <f t="shared" si="67"/>
        <v>-0.007612613787287559</v>
      </c>
      <c r="G100" s="3">
        <f t="shared" si="67"/>
        <v>-0.10730250060685556</v>
      </c>
      <c r="H100" s="3">
        <f t="shared" si="67"/>
        <v>-0.20208734344175744</v>
      </c>
      <c r="I100" s="3">
        <f t="shared" si="67"/>
        <v>-0.2923139265131759</v>
      </c>
      <c r="J100" s="3">
        <f t="shared" si="67"/>
        <v>-0.37441191644902017</v>
      </c>
      <c r="K100" s="3">
        <f t="shared" si="67"/>
        <v>-0.4422069864764915</v>
      </c>
      <c r="L100" s="3">
        <f t="shared" si="67"/>
        <v>-0.4887244299660741</v>
      </c>
      <c r="M100" s="3">
        <f t="shared" si="67"/>
        <v>-0.5077226122214031</v>
      </c>
      <c r="N100" s="3">
        <f t="shared" si="67"/>
        <v>-0.4946850485168799</v>
      </c>
      <c r="O100" s="3">
        <f t="shared" si="67"/>
        <v>-0.44729554384246006</v>
      </c>
      <c r="P100" s="3">
        <f t="shared" si="67"/>
        <v>-0.3655696870481175</v>
      </c>
      <c r="Q100" s="3">
        <f t="shared" si="67"/>
        <v>-0.2518766807871118</v>
      </c>
      <c r="R100" s="3">
        <f t="shared" si="67"/>
        <v>-0.11108437930362225</v>
      </c>
      <c r="S100" s="3">
        <f t="shared" si="67"/>
        <v>0.04900989446523238</v>
      </c>
      <c r="T100" s="3">
        <f t="shared" si="67"/>
        <v>0.2169813769073278</v>
      </c>
      <c r="U100" s="3">
        <f t="shared" si="67"/>
        <v>0.37718895225249705</v>
      </c>
      <c r="V100" s="3">
        <f t="shared" si="67"/>
        <v>0.5102105726644471</v>
      </c>
      <c r="W100" s="3">
        <f t="shared" si="67"/>
        <v>0.595642695886145</v>
      </c>
      <c r="X100" s="3">
        <f t="shared" si="67"/>
        <v>0.6180459196376276</v>
      </c>
      <c r="Y100" s="3">
        <f t="shared" si="67"/>
        <v>0.5743247011575515</v>
      </c>
      <c r="Z100" s="3">
        <f t="shared" si="67"/>
        <v>0.4774655737279403</v>
      </c>
    </row>
    <row r="101" spans="1:26" ht="12.75">
      <c r="A101" s="8" t="s">
        <v>86</v>
      </c>
      <c r="B101" s="3">
        <f aca="true" t="shared" si="68" ref="B101:Z101">B30-B93*(B98-B27)-B84*(B100-B29)</f>
        <v>-0.6180072001374982</v>
      </c>
      <c r="C101" s="3">
        <f t="shared" si="68"/>
        <v>-1.1503082424590658</v>
      </c>
      <c r="D101" s="3">
        <f t="shared" si="68"/>
        <v>-1.5095407289710814</v>
      </c>
      <c r="E101" s="3">
        <f t="shared" si="68"/>
        <v>-1.646986337795302</v>
      </c>
      <c r="F101" s="3">
        <f t="shared" si="68"/>
        <v>-1.5815272823625761</v>
      </c>
      <c r="G101" s="3">
        <f t="shared" si="68"/>
        <v>-1.3699721343794131</v>
      </c>
      <c r="H101" s="3">
        <f t="shared" si="68"/>
        <v>-1.075188842993426</v>
      </c>
      <c r="I101" s="3">
        <f t="shared" si="68"/>
        <v>-0.7486062253142588</v>
      </c>
      <c r="J101" s="3">
        <f t="shared" si="68"/>
        <v>-0.4258524833717242</v>
      </c>
      <c r="K101" s="3">
        <f t="shared" si="68"/>
        <v>-0.12867482143523434</v>
      </c>
      <c r="L101" s="3">
        <f t="shared" si="68"/>
        <v>0.13172154828584837</v>
      </c>
      <c r="M101" s="3">
        <f t="shared" si="68"/>
        <v>0.35179843874289574</v>
      </c>
      <c r="N101" s="3">
        <f t="shared" si="68"/>
        <v>0.5335021054286242</v>
      </c>
      <c r="O101" s="3">
        <f t="shared" si="68"/>
        <v>0.6824740117240111</v>
      </c>
      <c r="P101" s="3">
        <f t="shared" si="68"/>
        <v>0.8063237127195498</v>
      </c>
      <c r="Q101" s="3">
        <f t="shared" si="68"/>
        <v>0.9126912249064422</v>
      </c>
      <c r="R101" s="3">
        <f t="shared" si="68"/>
        <v>1.0068214810998464</v>
      </c>
      <c r="S101" s="3">
        <f t="shared" si="68"/>
        <v>1.0883410199692283</v>
      </c>
      <c r="T101" s="3">
        <f t="shared" si="68"/>
        <v>1.1471105528590257</v>
      </c>
      <c r="U101" s="3">
        <f t="shared" si="68"/>
        <v>1.1589412041916678</v>
      </c>
      <c r="V101" s="3">
        <f t="shared" si="68"/>
        <v>1.084210120387748</v>
      </c>
      <c r="W101" s="3">
        <f t="shared" si="68"/>
        <v>0.8755141989286657</v>
      </c>
      <c r="X101" s="3">
        <f t="shared" si="68"/>
        <v>0.5004269712514225</v>
      </c>
      <c r="Y101" s="3">
        <f t="shared" si="68"/>
        <v>-0.02521229127539692</v>
      </c>
      <c r="Z101" s="3">
        <f t="shared" si="68"/>
        <v>-0.618007200137498</v>
      </c>
    </row>
    <row r="102" spans="1:26" ht="12.75">
      <c r="A102" s="8" t="s">
        <v>87</v>
      </c>
      <c r="B102" s="3">
        <f aca="true" t="shared" si="69" ref="B102:Z102">B31+B93*(B97-B26)+B84*(B99-B28)</f>
        <v>-0.44206911158396545</v>
      </c>
      <c r="C102" s="3">
        <f t="shared" si="69"/>
        <v>-0.5019397067162568</v>
      </c>
      <c r="D102" s="3">
        <f t="shared" si="69"/>
        <v>-0.48446391552549684</v>
      </c>
      <c r="E102" s="3">
        <f t="shared" si="69"/>
        <v>-0.43634558512761845</v>
      </c>
      <c r="F102" s="3">
        <f t="shared" si="69"/>
        <v>-0.39433392501403386</v>
      </c>
      <c r="G102" s="3">
        <f t="shared" si="69"/>
        <v>-0.36987368501306345</v>
      </c>
      <c r="H102" s="3">
        <f t="shared" si="69"/>
        <v>-0.35446644807097394</v>
      </c>
      <c r="I102" s="3">
        <f t="shared" si="69"/>
        <v>-0.3324447893311702</v>
      </c>
      <c r="J102" s="3">
        <f t="shared" si="69"/>
        <v>-0.2906854445976511</v>
      </c>
      <c r="K102" s="3">
        <f t="shared" si="69"/>
        <v>-0.22269074747123535</v>
      </c>
      <c r="L102" s="3">
        <f t="shared" si="69"/>
        <v>-0.12864007929055288</v>
      </c>
      <c r="M102" s="3">
        <f t="shared" si="69"/>
        <v>-0.013591509633658558</v>
      </c>
      <c r="N102" s="3">
        <f t="shared" si="69"/>
        <v>0.11467185362797816</v>
      </c>
      <c r="O102" s="3">
        <f t="shared" si="69"/>
        <v>0.24734654681460702</v>
      </c>
      <c r="P102" s="3">
        <f t="shared" si="69"/>
        <v>0.37549232477076333</v>
      </c>
      <c r="Q102" s="3">
        <f t="shared" si="69"/>
        <v>0.4899866137159493</v>
      </c>
      <c r="R102" s="3">
        <f t="shared" si="69"/>
        <v>0.580670918507195</v>
      </c>
      <c r="S102" s="3">
        <f t="shared" si="69"/>
        <v>0.6351318141687115</v>
      </c>
      <c r="T102" s="3">
        <f t="shared" si="69"/>
        <v>0.6381041559779659</v>
      </c>
      <c r="U102" s="3">
        <f t="shared" si="69"/>
        <v>0.5732594493031873</v>
      </c>
      <c r="V102" s="3">
        <f t="shared" si="69"/>
        <v>0.42957019034376326</v>
      </c>
      <c r="W102" s="3">
        <f t="shared" si="69"/>
        <v>0.21273266656446826</v>
      </c>
      <c r="X102" s="3">
        <f t="shared" si="69"/>
        <v>-0.04385057681811262</v>
      </c>
      <c r="Y102" s="3">
        <f t="shared" si="69"/>
        <v>-0.28157100960079984</v>
      </c>
      <c r="Z102" s="3">
        <f t="shared" si="69"/>
        <v>-0.4420691115839652</v>
      </c>
    </row>
    <row r="103" ht="12.75">
      <c r="A103" s="8" t="s">
        <v>79</v>
      </c>
    </row>
    <row r="104" spans="1:26" ht="12.75">
      <c r="A104" s="8" t="s">
        <v>27</v>
      </c>
      <c r="B104" s="3">
        <f aca="true" t="shared" si="70" ref="B104:Z104">B26-B29/B84</f>
        <v>7.466639869241565</v>
      </c>
      <c r="C104" s="3">
        <f t="shared" si="70"/>
        <v>6.921901362742308</v>
      </c>
      <c r="D104" s="3">
        <f t="shared" si="70"/>
        <v>6.458800847579214</v>
      </c>
      <c r="E104" s="3">
        <f t="shared" si="70"/>
        <v>5.925347376220809</v>
      </c>
      <c r="F104" s="3">
        <f t="shared" si="70"/>
        <v>5.10332370500978</v>
      </c>
      <c r="G104" s="3">
        <f t="shared" si="70"/>
        <v>3.4486459982194817</v>
      </c>
      <c r="H104" s="3">
        <f t="shared" si="70"/>
        <v>-1.8067474060240205</v>
      </c>
      <c r="I104" s="3">
        <f t="shared" si="70"/>
        <v>93.11196745152333</v>
      </c>
      <c r="J104" s="3">
        <f t="shared" si="70"/>
        <v>15.474719082813333</v>
      </c>
      <c r="K104" s="3">
        <f t="shared" si="70"/>
        <v>11.351241100256898</v>
      </c>
      <c r="L104" s="3">
        <f t="shared" si="70"/>
        <v>9.5826186657085</v>
      </c>
      <c r="M104" s="3">
        <f t="shared" si="70"/>
        <v>8.395150218166943</v>
      </c>
      <c r="N104" s="3">
        <f t="shared" si="70"/>
        <v>7.412110727335689</v>
      </c>
      <c r="O104" s="3">
        <f t="shared" si="70"/>
        <v>6.504509428472214</v>
      </c>
      <c r="P104" s="3">
        <f t="shared" si="70"/>
        <v>5.606315469147746</v>
      </c>
      <c r="Q104" s="3">
        <f t="shared" si="70"/>
        <v>4.655388054648279</v>
      </c>
      <c r="R104" s="3">
        <f t="shared" si="70"/>
        <v>3.546593622779018</v>
      </c>
      <c r="S104" s="3">
        <f t="shared" si="70"/>
        <v>2.026536700412129</v>
      </c>
      <c r="T104" s="3">
        <f t="shared" si="70"/>
        <v>-0.7617057751522749</v>
      </c>
      <c r="U104" s="3">
        <f t="shared" si="70"/>
        <v>-10.763074067812513</v>
      </c>
      <c r="V104" s="3">
        <f t="shared" si="70"/>
        <v>38.895503973727585</v>
      </c>
      <c r="W104" s="3">
        <f t="shared" si="70"/>
        <v>13.422412642259568</v>
      </c>
      <c r="X104" s="3">
        <f t="shared" si="70"/>
        <v>9.765325571443118</v>
      </c>
      <c r="Y104" s="3">
        <f t="shared" si="70"/>
        <v>8.280704744800303</v>
      </c>
      <c r="Z104" s="3">
        <f t="shared" si="70"/>
        <v>7.466639869241566</v>
      </c>
    </row>
    <row r="105" spans="1:26" ht="12.75">
      <c r="A105" s="8" t="s">
        <v>28</v>
      </c>
      <c r="B105" s="3">
        <f aca="true" t="shared" si="71" ref="B105:Z105">B27+B28/B84</f>
        <v>0.3913100142531676</v>
      </c>
      <c r="C105" s="3">
        <f t="shared" si="71"/>
        <v>2.249062088136371</v>
      </c>
      <c r="D105" s="3">
        <f t="shared" si="71"/>
        <v>4.194394313368457</v>
      </c>
      <c r="E105" s="3">
        <f t="shared" si="71"/>
        <v>6.58076495074115</v>
      </c>
      <c r="F105" s="3">
        <f t="shared" si="71"/>
        <v>10.01583671644566</v>
      </c>
      <c r="G105" s="3">
        <f t="shared" si="71"/>
        <v>16.224603800155755</v>
      </c>
      <c r="H105" s="3">
        <f t="shared" si="71"/>
        <v>34.474794214542754</v>
      </c>
      <c r="I105" s="3">
        <f t="shared" si="71"/>
        <v>-286.5691693395513</v>
      </c>
      <c r="J105" s="3">
        <f t="shared" si="71"/>
        <v>-23.8289777404972</v>
      </c>
      <c r="K105" s="3">
        <f t="shared" si="71"/>
        <v>-10.220703394471176</v>
      </c>
      <c r="L105" s="3">
        <f t="shared" si="71"/>
        <v>-4.882588082978827</v>
      </c>
      <c r="M105" s="3">
        <f t="shared" si="71"/>
        <v>-1.7844442650769046</v>
      </c>
      <c r="N105" s="3">
        <f t="shared" si="71"/>
        <v>0.38845226301966984</v>
      </c>
      <c r="O105" s="3">
        <f t="shared" si="71"/>
        <v>2.113443227643267</v>
      </c>
      <c r="P105" s="3">
        <f t="shared" si="71"/>
        <v>3.6407838355252116</v>
      </c>
      <c r="Q105" s="3">
        <f t="shared" si="71"/>
        <v>5.170332234878707</v>
      </c>
      <c r="R105" s="3">
        <f t="shared" si="71"/>
        <v>6.9605819028236615</v>
      </c>
      <c r="S105" s="3">
        <f t="shared" si="71"/>
        <v>9.534105578722025</v>
      </c>
      <c r="T105" s="3">
        <f t="shared" si="71"/>
        <v>14.534212011512576</v>
      </c>
      <c r="U105" s="3">
        <f t="shared" si="71"/>
        <v>33.125335867904504</v>
      </c>
      <c r="V105" s="3">
        <f t="shared" si="71"/>
        <v>-59.893823819053964</v>
      </c>
      <c r="W105" s="3">
        <f t="shared" si="71"/>
        <v>-12.085594627324978</v>
      </c>
      <c r="X105" s="3">
        <f t="shared" si="71"/>
        <v>-4.975681901249001</v>
      </c>
      <c r="Y105" s="3">
        <f t="shared" si="71"/>
        <v>-1.76011812875939</v>
      </c>
      <c r="Z105" s="3">
        <f t="shared" si="71"/>
        <v>0.3913100142531658</v>
      </c>
    </row>
    <row r="106" ht="12.75">
      <c r="A106" s="8" t="s">
        <v>80</v>
      </c>
    </row>
    <row r="107" spans="1:26" ht="12.75">
      <c r="A107" s="8" t="s">
        <v>27</v>
      </c>
      <c r="B107" s="3">
        <f aca="true" t="shared" si="72" ref="B107:Z107">B26+(B30*B84^2-B31*B93)/(B84^4+B93^2)</f>
        <v>-7.886779633287018</v>
      </c>
      <c r="C107" s="3">
        <f t="shared" si="72"/>
        <v>-25.917678880939103</v>
      </c>
      <c r="D107" s="3">
        <f t="shared" si="72"/>
        <v>4.353457942919413</v>
      </c>
      <c r="E107" s="3">
        <f t="shared" si="72"/>
        <v>6.796686522172555</v>
      </c>
      <c r="F107" s="3">
        <f t="shared" si="72"/>
        <v>7.378870307151968</v>
      </c>
      <c r="G107" s="3">
        <f t="shared" si="72"/>
        <v>7.611975028094674</v>
      </c>
      <c r="H107" s="3">
        <f t="shared" si="72"/>
        <v>7.640529106185901</v>
      </c>
      <c r="I107" s="3">
        <f t="shared" si="72"/>
        <v>7.453325460720369</v>
      </c>
      <c r="J107" s="3">
        <f t="shared" si="72"/>
        <v>7.030628543814859</v>
      </c>
      <c r="K107" s="3">
        <f t="shared" si="72"/>
        <v>6.37573467277598</v>
      </c>
      <c r="L107" s="3">
        <f t="shared" si="72"/>
        <v>5.528746638955351</v>
      </c>
      <c r="M107" s="3">
        <f t="shared" si="72"/>
        <v>4.6249582185664</v>
      </c>
      <c r="N107" s="3">
        <f t="shared" si="72"/>
        <v>4.330139114603786</v>
      </c>
      <c r="O107" s="3">
        <f t="shared" si="72"/>
        <v>10.378309919391894</v>
      </c>
      <c r="P107" s="3">
        <f t="shared" si="72"/>
        <v>52.80651075268974</v>
      </c>
      <c r="Q107" s="3">
        <f t="shared" si="72"/>
        <v>26.789760351378273</v>
      </c>
      <c r="R107" s="3">
        <f t="shared" si="72"/>
        <v>14.7617860226498</v>
      </c>
      <c r="S107" s="3">
        <f t="shared" si="72"/>
        <v>10.302141215859718</v>
      </c>
      <c r="T107" s="3">
        <f t="shared" si="72"/>
        <v>8.007561053526953</v>
      </c>
      <c r="U107" s="3">
        <f t="shared" si="72"/>
        <v>6.572769701825793</v>
      </c>
      <c r="V107" s="3">
        <f t="shared" si="72"/>
        <v>5.534497598382338</v>
      </c>
      <c r="W107" s="3">
        <f t="shared" si="72"/>
        <v>4.630778494912633</v>
      </c>
      <c r="X107" s="3">
        <f t="shared" si="72"/>
        <v>3.544616767884535</v>
      </c>
      <c r="Y107" s="3">
        <f t="shared" si="72"/>
        <v>1.3623588794397508</v>
      </c>
      <c r="Z107" s="3">
        <f t="shared" si="72"/>
        <v>-7.886779633287006</v>
      </c>
    </row>
    <row r="108" spans="1:26" ht="12.75">
      <c r="A108" s="8" t="s">
        <v>28</v>
      </c>
      <c r="B108" s="3">
        <f aca="true" t="shared" si="73" ref="B108:Z108">B27+(B30*B93+B31*B84^2)/(B84^4+B84^2)</f>
        <v>2.0054965257847623</v>
      </c>
      <c r="C108" s="3">
        <f t="shared" si="73"/>
        <v>-0.4019131496369008</v>
      </c>
      <c r="D108" s="3">
        <f t="shared" si="73"/>
        <v>-2.330101564614152</v>
      </c>
      <c r="E108" s="3">
        <f t="shared" si="73"/>
        <v>-4.099811495765945</v>
      </c>
      <c r="F108" s="3">
        <f t="shared" si="73"/>
        <v>-5.785178638245485</v>
      </c>
      <c r="G108" s="3">
        <f t="shared" si="73"/>
        <v>-6.591107959177862</v>
      </c>
      <c r="H108" s="3">
        <f t="shared" si="73"/>
        <v>7.630953718794306</v>
      </c>
      <c r="I108" s="3">
        <f t="shared" si="73"/>
        <v>3460.4126309122403</v>
      </c>
      <c r="J108" s="3">
        <f t="shared" si="73"/>
        <v>52.45053568517613</v>
      </c>
      <c r="K108" s="3">
        <f t="shared" si="73"/>
        <v>19.194929882426624</v>
      </c>
      <c r="L108" s="3">
        <f t="shared" si="73"/>
        <v>10.06138913956378</v>
      </c>
      <c r="M108" s="3">
        <f t="shared" si="73"/>
        <v>5.748379446713872</v>
      </c>
      <c r="N108" s="3">
        <f t="shared" si="73"/>
        <v>3.125963575148204</v>
      </c>
      <c r="O108" s="3">
        <f t="shared" si="73"/>
        <v>1.2740652941850465</v>
      </c>
      <c r="P108" s="3">
        <f t="shared" si="73"/>
        <v>-0.16181693933288055</v>
      </c>
      <c r="Q108" s="3">
        <f t="shared" si="73"/>
        <v>-1.3204201093986678</v>
      </c>
      <c r="R108" s="3">
        <f t="shared" si="73"/>
        <v>-2.1718988901180243</v>
      </c>
      <c r="S108" s="3">
        <f t="shared" si="73"/>
        <v>-2.2484983392479645</v>
      </c>
      <c r="T108" s="3">
        <f t="shared" si="73"/>
        <v>1.5743297828775638</v>
      </c>
      <c r="U108" s="3">
        <f t="shared" si="73"/>
        <v>60.085256026956095</v>
      </c>
      <c r="V108" s="3">
        <f t="shared" si="73"/>
        <v>453.4376054131343</v>
      </c>
      <c r="W108" s="3">
        <f t="shared" si="73"/>
        <v>36.2472043973712</v>
      </c>
      <c r="X108" s="3">
        <f t="shared" si="73"/>
        <v>12.896962567216505</v>
      </c>
      <c r="Y108" s="3">
        <f t="shared" si="73"/>
        <v>5.652934707543405</v>
      </c>
      <c r="Z108" s="3">
        <f t="shared" si="73"/>
        <v>2.005496525784764</v>
      </c>
    </row>
    <row r="109" spans="1:3" ht="12.75">
      <c r="A109" s="39" t="s">
        <v>113</v>
      </c>
      <c r="B109" s="37"/>
      <c r="C109" s="3" t="s">
        <v>159</v>
      </c>
    </row>
    <row r="110" spans="1:26" ht="12.75">
      <c r="A110" s="8" t="s">
        <v>27</v>
      </c>
      <c r="B110" s="3">
        <f aca="true" t="shared" si="74" ref="B110:Z110">$B$10+($F$3-$B$10)*B70-($F$4-$B$11)*B71</f>
        <v>4.374149453370722</v>
      </c>
      <c r="C110" s="3">
        <f t="shared" si="74"/>
        <v>4.768720451836459</v>
      </c>
      <c r="D110" s="3">
        <f t="shared" si="74"/>
        <v>5.161144475589331</v>
      </c>
      <c r="E110" s="3">
        <f t="shared" si="74"/>
        <v>5.515813475969396</v>
      </c>
      <c r="F110" s="3">
        <f t="shared" si="74"/>
        <v>5.805879952883364</v>
      </c>
      <c r="G110" s="3">
        <f t="shared" si="74"/>
        <v>6.0150905905382395</v>
      </c>
      <c r="H110" s="3">
        <f t="shared" si="74"/>
        <v>6.136607204958299</v>
      </c>
      <c r="I110" s="3">
        <f t="shared" si="74"/>
        <v>6.170544662041078</v>
      </c>
      <c r="J110" s="3">
        <f t="shared" si="74"/>
        <v>6.121602132279435</v>
      </c>
      <c r="K110" s="3">
        <f t="shared" si="74"/>
        <v>5.997391908968077</v>
      </c>
      <c r="L110" s="3">
        <f t="shared" si="74"/>
        <v>5.807511210282289</v>
      </c>
      <c r="M110" s="3">
        <f t="shared" si="74"/>
        <v>5.563160025051384</v>
      </c>
      <c r="N110" s="3">
        <f t="shared" si="74"/>
        <v>5.277064446410913</v>
      </c>
      <c r="O110" s="3">
        <f t="shared" si="74"/>
        <v>4.96350371830257</v>
      </c>
      <c r="P110" s="3">
        <f t="shared" si="74"/>
        <v>4.638299041531158</v>
      </c>
      <c r="Q110" s="3">
        <f t="shared" si="74"/>
        <v>4.318679258390704</v>
      </c>
      <c r="R110" s="3">
        <f t="shared" si="74"/>
        <v>4.022982253767393</v>
      </c>
      <c r="S110" s="3">
        <f t="shared" si="74"/>
        <v>3.7701698423952816</v>
      </c>
      <c r="T110" s="3">
        <f t="shared" si="74"/>
        <v>3.579112356997181</v>
      </c>
      <c r="U110" s="3">
        <f t="shared" si="74"/>
        <v>3.4675254163345097</v>
      </c>
      <c r="V110" s="3">
        <f t="shared" si="74"/>
        <v>3.45033607774974</v>
      </c>
      <c r="W110" s="3">
        <f t="shared" si="74"/>
        <v>3.537226210629121</v>
      </c>
      <c r="X110" s="3">
        <f t="shared" si="74"/>
        <v>3.729378269430781</v>
      </c>
      <c r="Y110" s="3">
        <f t="shared" si="74"/>
        <v>4.016241314795392</v>
      </c>
      <c r="Z110" s="3">
        <f t="shared" si="74"/>
        <v>4.374149453370722</v>
      </c>
    </row>
    <row r="111" spans="1:26" ht="12.75">
      <c r="A111" s="8" t="s">
        <v>28</v>
      </c>
      <c r="B111" s="3">
        <f aca="true" t="shared" si="75" ref="B111:Z111">$B$11+($F$3-$B$10)*B71+($F$4-$B$11)*B70</f>
        <v>9.465404811777022</v>
      </c>
      <c r="C111" s="3">
        <f t="shared" si="75"/>
        <v>9.590821451791856</v>
      </c>
      <c r="D111" s="3">
        <f t="shared" si="75"/>
        <v>9.69804020052771</v>
      </c>
      <c r="E111" s="3">
        <f t="shared" si="75"/>
        <v>9.780397053956921</v>
      </c>
      <c r="F111" s="3">
        <f t="shared" si="75"/>
        <v>9.837740251528</v>
      </c>
      <c r="G111" s="3">
        <f t="shared" si="75"/>
        <v>9.873604314727201</v>
      </c>
      <c r="H111" s="3">
        <f t="shared" si="75"/>
        <v>9.892344592027719</v>
      </c>
      <c r="I111" s="3">
        <f t="shared" si="75"/>
        <v>9.897305564484748</v>
      </c>
      <c r="J111" s="3">
        <f t="shared" si="75"/>
        <v>9.890113232148522</v>
      </c>
      <c r="K111" s="3">
        <f t="shared" si="75"/>
        <v>9.870747049061638</v>
      </c>
      <c r="L111" s="3">
        <f t="shared" si="75"/>
        <v>9.838037606084677</v>
      </c>
      <c r="M111" s="3">
        <f t="shared" si="75"/>
        <v>9.790366842792528</v>
      </c>
      <c r="N111" s="3">
        <f t="shared" si="75"/>
        <v>9.726457238577249</v>
      </c>
      <c r="O111" s="3">
        <f t="shared" si="75"/>
        <v>9.646185119340995</v>
      </c>
      <c r="P111" s="3">
        <f t="shared" si="75"/>
        <v>9.55135212588274</v>
      </c>
      <c r="Q111" s="3">
        <f t="shared" si="75"/>
        <v>9.446318552255404</v>
      </c>
      <c r="R111" s="3">
        <f t="shared" si="75"/>
        <v>9.338358744615512</v>
      </c>
      <c r="S111" s="3">
        <f t="shared" si="75"/>
        <v>9.2375538409203</v>
      </c>
      <c r="T111" s="3">
        <f t="shared" si="75"/>
        <v>9.156006911440555</v>
      </c>
      <c r="U111" s="3">
        <f t="shared" si="75"/>
        <v>9.10618766638151</v>
      </c>
      <c r="V111" s="3">
        <f t="shared" si="75"/>
        <v>9.098367399285138</v>
      </c>
      <c r="W111" s="3">
        <f t="shared" si="75"/>
        <v>9.137497969159883</v>
      </c>
      <c r="X111" s="3">
        <f t="shared" si="75"/>
        <v>9.22053617849013</v>
      </c>
      <c r="Y111" s="3">
        <f t="shared" si="75"/>
        <v>9.335773866489086</v>
      </c>
      <c r="Z111" s="3">
        <f t="shared" si="75"/>
        <v>9.465404811777022</v>
      </c>
    </row>
    <row r="112" spans="1:26" ht="12.75">
      <c r="A112" s="8" t="s">
        <v>84</v>
      </c>
      <c r="B112" s="3">
        <f aca="true" t="shared" si="76" ref="B112:Z112">-B85*(B111-$B$11)</f>
        <v>1.4009963802398389</v>
      </c>
      <c r="C112" s="3">
        <f t="shared" si="76"/>
        <v>1.1688020334472307</v>
      </c>
      <c r="D112" s="3">
        <f t="shared" si="76"/>
        <v>0.8181218066537634</v>
      </c>
      <c r="E112" s="3">
        <f t="shared" si="76"/>
        <v>0.39960518093162184</v>
      </c>
      <c r="F112" s="3">
        <f t="shared" si="76"/>
        <v>-0.030963098019400625</v>
      </c>
      <c r="G112" s="3">
        <f t="shared" si="76"/>
        <v>-0.4274055606448959</v>
      </c>
      <c r="H112" s="3">
        <f t="shared" si="76"/>
        <v>-0.7594409899155963</v>
      </c>
      <c r="I112" s="3">
        <f t="shared" si="76"/>
        <v>-1.0117922868568971</v>
      </c>
      <c r="J112" s="3">
        <f t="shared" si="76"/>
        <v>-1.1801249821287179</v>
      </c>
      <c r="K112" s="3">
        <f t="shared" si="76"/>
        <v>-1.2668441521381546</v>
      </c>
      <c r="L112" s="3">
        <f t="shared" si="76"/>
        <v>-1.2779820136805737</v>
      </c>
      <c r="M112" s="3">
        <f t="shared" si="76"/>
        <v>-1.2212630511620093</v>
      </c>
      <c r="N112" s="3">
        <f t="shared" si="76"/>
        <v>-1.1050157030071601</v>
      </c>
      <c r="O112" s="3">
        <f t="shared" si="76"/>
        <v>-0.9375797843017947</v>
      </c>
      <c r="P112" s="3">
        <f t="shared" si="76"/>
        <v>-0.726979732649654</v>
      </c>
      <c r="Q112" s="3">
        <f t="shared" si="76"/>
        <v>-0.4807762116646022</v>
      </c>
      <c r="R112" s="3">
        <f t="shared" si="76"/>
        <v>-0.2061380501192593</v>
      </c>
      <c r="S112" s="3">
        <f t="shared" si="76"/>
        <v>0.08970756167199301</v>
      </c>
      <c r="T112" s="3">
        <f t="shared" si="76"/>
        <v>0.3983928834508302</v>
      </c>
      <c r="U112" s="3">
        <f t="shared" si="76"/>
        <v>0.7084333408592951</v>
      </c>
      <c r="V112" s="3">
        <f t="shared" si="76"/>
        <v>1.0023772529999204</v>
      </c>
      <c r="W112" s="3">
        <f t="shared" si="76"/>
        <v>1.2540089688800276</v>
      </c>
      <c r="X112" s="3">
        <f t="shared" si="76"/>
        <v>1.4281282244880094</v>
      </c>
      <c r="Y112" s="3">
        <f t="shared" si="76"/>
        <v>1.4864759267677148</v>
      </c>
      <c r="Z112" s="3">
        <f t="shared" si="76"/>
        <v>1.4009963802398393</v>
      </c>
    </row>
    <row r="113" spans="1:26" ht="12.75">
      <c r="A113" s="8" t="s">
        <v>85</v>
      </c>
      <c r="B113" s="3">
        <f aca="true" t="shared" si="77" ref="B113:Z113">B85*(B110-$B$10)</f>
        <v>0.47746557372794035</v>
      </c>
      <c r="C113" s="3">
        <f t="shared" si="77"/>
        <v>0.3450387758530155</v>
      </c>
      <c r="D113" s="3">
        <f t="shared" si="77"/>
        <v>0.2057406286777195</v>
      </c>
      <c r="E113" s="3">
        <f t="shared" si="77"/>
        <v>0.08515520672992974</v>
      </c>
      <c r="F113" s="3">
        <f t="shared" si="77"/>
        <v>-0.005646775931984561</v>
      </c>
      <c r="G113" s="3">
        <f t="shared" si="77"/>
        <v>-0.06860707327637024</v>
      </c>
      <c r="H113" s="3">
        <f t="shared" si="77"/>
        <v>-0.11234550743384641</v>
      </c>
      <c r="I113" s="3">
        <f t="shared" si="77"/>
        <v>-0.14613188164495663</v>
      </c>
      <c r="J113" s="3">
        <f t="shared" si="77"/>
        <v>-0.17640791528570296</v>
      </c>
      <c r="K113" s="3">
        <f t="shared" si="77"/>
        <v>-0.20568399516286748</v>
      </c>
      <c r="L113" s="3">
        <f t="shared" si="77"/>
        <v>-0.23284810698085645</v>
      </c>
      <c r="M113" s="3">
        <f t="shared" si="77"/>
        <v>-0.2540780588181695</v>
      </c>
      <c r="N113" s="3">
        <f t="shared" si="77"/>
        <v>-0.26390701165155644</v>
      </c>
      <c r="O113" s="3">
        <f t="shared" si="77"/>
        <v>-0.2562594004286781</v>
      </c>
      <c r="P113" s="3">
        <f t="shared" si="77"/>
        <v>-0.22542322203170917</v>
      </c>
      <c r="Q113" s="3">
        <f t="shared" si="77"/>
        <v>-0.16700484391675918</v>
      </c>
      <c r="R113" s="3">
        <f t="shared" si="77"/>
        <v>-0.07896028452275275</v>
      </c>
      <c r="S113" s="3">
        <f t="shared" si="77"/>
        <v>0.03719217565311164</v>
      </c>
      <c r="T113" s="3">
        <f t="shared" si="77"/>
        <v>0.17495541862535274</v>
      </c>
      <c r="U113" s="3">
        <f t="shared" si="77"/>
        <v>0.3214937889025067</v>
      </c>
      <c r="V113" s="3">
        <f t="shared" si="77"/>
        <v>0.4571730883921995</v>
      </c>
      <c r="W113" s="3">
        <f t="shared" si="77"/>
        <v>0.5575656254695943</v>
      </c>
      <c r="X113" s="3">
        <f t="shared" si="77"/>
        <v>0.5995035465115106</v>
      </c>
      <c r="Y113" s="3">
        <f t="shared" si="77"/>
        <v>0.5706191140750885</v>
      </c>
      <c r="Z113" s="3">
        <f t="shared" si="77"/>
        <v>0.47746557372794046</v>
      </c>
    </row>
    <row r="114" spans="1:26" ht="12.75">
      <c r="A114" s="8" t="s">
        <v>86</v>
      </c>
      <c r="B114" s="3">
        <f aca="true" t="shared" si="78" ref="B114:Z114">-B94*(B111-$B$11)-B85*(B113)</f>
        <v>-0.6180072001374981</v>
      </c>
      <c r="C114" s="3">
        <f t="shared" si="78"/>
        <v>-1.1531907366211418</v>
      </c>
      <c r="D114" s="3">
        <f t="shared" si="78"/>
        <v>-1.518598478305942</v>
      </c>
      <c r="E114" s="3">
        <f t="shared" si="78"/>
        <v>-1.6628325694022337</v>
      </c>
      <c r="F114" s="3">
        <f t="shared" si="78"/>
        <v>-1.6034819164182603</v>
      </c>
      <c r="G114" s="3">
        <f t="shared" si="78"/>
        <v>-1.397996521399838</v>
      </c>
      <c r="H114" s="3">
        <f t="shared" si="78"/>
        <v>-1.1097807066644896</v>
      </c>
      <c r="I114" s="3">
        <f t="shared" si="78"/>
        <v>-0.7891274221544556</v>
      </c>
      <c r="J114" s="3">
        <f t="shared" si="78"/>
        <v>-0.4690609808751025</v>
      </c>
      <c r="K114" s="3">
        <f t="shared" si="78"/>
        <v>-0.16857270669201696</v>
      </c>
      <c r="L114" s="3">
        <f t="shared" si="78"/>
        <v>0.10270078570155103</v>
      </c>
      <c r="M114" s="3">
        <f t="shared" si="78"/>
        <v>0.3408810250751646</v>
      </c>
      <c r="N114" s="3">
        <f t="shared" si="78"/>
        <v>0.5456816642308561</v>
      </c>
      <c r="O114" s="3">
        <f t="shared" si="78"/>
        <v>0.7191824115794944</v>
      </c>
      <c r="P114" s="3">
        <f t="shared" si="78"/>
        <v>0.8649154716510187</v>
      </c>
      <c r="Q114" s="3">
        <f t="shared" si="78"/>
        <v>0.9867394905483917</v>
      </c>
      <c r="R114" s="3">
        <f t="shared" si="78"/>
        <v>1.0871015360867333</v>
      </c>
      <c r="S114" s="3">
        <f t="shared" si="78"/>
        <v>1.1643947586840289</v>
      </c>
      <c r="T114" s="3">
        <f t="shared" si="78"/>
        <v>1.209347168589909</v>
      </c>
      <c r="U114" s="3">
        <f t="shared" si="78"/>
        <v>1.2011232214652765</v>
      </c>
      <c r="V114" s="3">
        <f t="shared" si="78"/>
        <v>1.1056640798021804</v>
      </c>
      <c r="W114" s="3">
        <f t="shared" si="78"/>
        <v>0.8816086378730295</v>
      </c>
      <c r="X114" s="3">
        <f t="shared" si="78"/>
        <v>0.49981365553886153</v>
      </c>
      <c r="Y114" s="3">
        <f t="shared" si="78"/>
        <v>-0.02591446816701863</v>
      </c>
      <c r="Z114" s="3">
        <f t="shared" si="78"/>
        <v>-0.618007200137498</v>
      </c>
    </row>
    <row r="115" spans="1:26" ht="12.75">
      <c r="A115" s="8" t="s">
        <v>87</v>
      </c>
      <c r="B115" s="3">
        <f aca="true" t="shared" si="79" ref="B115:Z115">B94*(B110-$B$10)+B85*(B112)</f>
        <v>-0.4420691115839655</v>
      </c>
      <c r="C115" s="3">
        <f t="shared" si="79"/>
        <v>-0.49528138145790873</v>
      </c>
      <c r="D115" s="3">
        <f t="shared" si="79"/>
        <v>-0.45527701408671717</v>
      </c>
      <c r="E115" s="3">
        <f t="shared" si="79"/>
        <v>-0.3714152833149314</v>
      </c>
      <c r="F115" s="3">
        <f t="shared" si="79"/>
        <v>-0.2925295420872087</v>
      </c>
      <c r="G115" s="3">
        <f t="shared" si="79"/>
        <v>-0.24338430104503678</v>
      </c>
      <c r="H115" s="3">
        <f t="shared" si="79"/>
        <v>-0.22375051736445295</v>
      </c>
      <c r="I115" s="3">
        <f t="shared" si="79"/>
        <v>-0.21956486544202053</v>
      </c>
      <c r="J115" s="3">
        <f t="shared" si="79"/>
        <v>-0.21407980174524935</v>
      </c>
      <c r="K115" s="3">
        <f t="shared" si="79"/>
        <v>-0.1942462901556017</v>
      </c>
      <c r="L115" s="3">
        <f t="shared" si="79"/>
        <v>-0.15281159936007788</v>
      </c>
      <c r="M115" s="3">
        <f t="shared" si="79"/>
        <v>-0.08801702891921492</v>
      </c>
      <c r="N115" s="3">
        <f t="shared" si="79"/>
        <v>-0.0023773585120009794</v>
      </c>
      <c r="O115" s="3">
        <f t="shared" si="79"/>
        <v>0.09862935554123592</v>
      </c>
      <c r="P115" s="3">
        <f t="shared" si="79"/>
        <v>0.207541905537864</v>
      </c>
      <c r="Q115" s="3">
        <f t="shared" si="79"/>
        <v>0.3153368539107744</v>
      </c>
      <c r="R115" s="3">
        <f t="shared" si="79"/>
        <v>0.411191513338909</v>
      </c>
      <c r="S115" s="3">
        <f t="shared" si="79"/>
        <v>0.4817296368981899</v>
      </c>
      <c r="T115" s="3">
        <f t="shared" si="79"/>
        <v>0.5104105800044332</v>
      </c>
      <c r="U115" s="3">
        <f t="shared" si="79"/>
        <v>0.4786168800256659</v>
      </c>
      <c r="V115" s="3">
        <f t="shared" si="79"/>
        <v>0.37087609281051204</v>
      </c>
      <c r="W115" s="3">
        <f t="shared" si="79"/>
        <v>0.18586691361561056</v>
      </c>
      <c r="X115" s="3">
        <f t="shared" si="79"/>
        <v>-0.05036205297675406</v>
      </c>
      <c r="Y115" s="3">
        <f t="shared" si="79"/>
        <v>-0.28150725287031125</v>
      </c>
      <c r="Z115" s="3">
        <f t="shared" si="79"/>
        <v>-0.44206911158396556</v>
      </c>
    </row>
    <row r="116" ht="12.75">
      <c r="A116" s="8"/>
    </row>
    <row r="117" spans="1:2" ht="13.5" customHeight="1">
      <c r="A117" s="38" t="s">
        <v>97</v>
      </c>
      <c r="B117" s="38"/>
    </row>
    <row r="118" spans="1:256" s="26" customFormat="1" ht="12.75">
      <c r="A118" s="8" t="s">
        <v>98</v>
      </c>
      <c r="B118" s="19">
        <f aca="true" t="shared" si="80" ref="B118:Z118">B26+($F$6-$D$3)*B70-($F$7-$D$4)*B71</f>
        <v>2</v>
      </c>
      <c r="C118" s="19">
        <f t="shared" si="80"/>
        <v>1.9501060501620566</v>
      </c>
      <c r="D118" s="19">
        <f t="shared" si="80"/>
        <v>1.8337715833099841</v>
      </c>
      <c r="E118" s="19">
        <f t="shared" si="80"/>
        <v>1.6593008074482896</v>
      </c>
      <c r="F118" s="19">
        <f t="shared" si="80"/>
        <v>1.4391904230677413</v>
      </c>
      <c r="G118" s="19">
        <f t="shared" si="80"/>
        <v>1.1890122477611251</v>
      </c>
      <c r="H118" s="19">
        <f t="shared" si="80"/>
        <v>0.9261877609551284</v>
      </c>
      <c r="I118" s="19">
        <f t="shared" si="80"/>
        <v>0.66876150523893</v>
      </c>
      <c r="J118" s="19">
        <f t="shared" si="80"/>
        <v>0.4342106208962292</v>
      </c>
      <c r="K118" s="19">
        <f t="shared" si="80"/>
        <v>0.23831907810045136</v>
      </c>
      <c r="L118" s="19">
        <f t="shared" si="80"/>
        <v>0.09416309448048563</v>
      </c>
      <c r="M118" s="19">
        <f t="shared" si="80"/>
        <v>0.011268428441031838</v>
      </c>
      <c r="N118" s="19">
        <f t="shared" si="80"/>
        <v>-0.004999683857095918</v>
      </c>
      <c r="O118" s="19">
        <f t="shared" si="80"/>
        <v>0.04623396821371013</v>
      </c>
      <c r="P118" s="19">
        <f t="shared" si="80"/>
        <v>0.16133208993649303</v>
      </c>
      <c r="Q118" s="19">
        <f t="shared" si="80"/>
        <v>0.33242991598924343</v>
      </c>
      <c r="R118" s="19">
        <f t="shared" si="80"/>
        <v>0.5480010781622917</v>
      </c>
      <c r="S118" s="19">
        <f t="shared" si="80"/>
        <v>0.7936522311223995</v>
      </c>
      <c r="T118" s="19">
        <f t="shared" si="80"/>
        <v>1.0530742107925573</v>
      </c>
      <c r="U118" s="19">
        <f t="shared" si="80"/>
        <v>1.309067766336166</v>
      </c>
      <c r="V118" s="19">
        <f t="shared" si="80"/>
        <v>1.5445702421289382</v>
      </c>
      <c r="W118" s="19">
        <f t="shared" si="80"/>
        <v>1.7436429632628494</v>
      </c>
      <c r="X118" s="19">
        <f t="shared" si="80"/>
        <v>1.8924309598978668</v>
      </c>
      <c r="Y118" s="19">
        <f t="shared" si="80"/>
        <v>1.9801374175985205</v>
      </c>
      <c r="Z118" s="19">
        <f t="shared" si="80"/>
        <v>2</v>
      </c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26" customFormat="1" ht="12.75">
      <c r="A119" s="8" t="s">
        <v>99</v>
      </c>
      <c r="B119" s="19">
        <f aca="true" t="shared" si="81" ref="B119:Z119">B27+($F$6-$D$3)*B71+($F$7-$D$4)*B70</f>
        <v>0.017</v>
      </c>
      <c r="C119" s="19">
        <f t="shared" si="81"/>
        <v>0.23226109981454382</v>
      </c>
      <c r="D119" s="19">
        <f t="shared" si="81"/>
        <v>0.42731296080359643</v>
      </c>
      <c r="E119" s="19">
        <f t="shared" si="81"/>
        <v>0.5896703606828874</v>
      </c>
      <c r="F119" s="19">
        <f t="shared" si="81"/>
        <v>0.708324971908</v>
      </c>
      <c r="G119" s="19">
        <f t="shared" si="81"/>
        <v>0.7745962911461182</v>
      </c>
      <c r="H119" s="19">
        <f t="shared" si="81"/>
        <v>0.7830308952637087</v>
      </c>
      <c r="I119" s="19">
        <f t="shared" si="81"/>
        <v>0.7321029957427779</v>
      </c>
      <c r="J119" s="19">
        <f t="shared" si="81"/>
        <v>0.6245566039172452</v>
      </c>
      <c r="K119" s="19">
        <f t="shared" si="81"/>
        <v>0.46733852414753274</v>
      </c>
      <c r="L119" s="19">
        <f t="shared" si="81"/>
        <v>0.27114559026348095</v>
      </c>
      <c r="M119" s="19">
        <f t="shared" si="81"/>
        <v>0.04964811420790859</v>
      </c>
      <c r="N119" s="19">
        <f t="shared" si="81"/>
        <v>-0.18153022033737068</v>
      </c>
      <c r="O119" s="19">
        <f t="shared" si="81"/>
        <v>-0.4059867214938825</v>
      </c>
      <c r="P119" s="19">
        <f t="shared" si="81"/>
        <v>-0.6077747831973903</v>
      </c>
      <c r="Q119" s="19">
        <f t="shared" si="81"/>
        <v>-0.772605961627282</v>
      </c>
      <c r="R119" s="19">
        <f t="shared" si="81"/>
        <v>-0.8889289575281017</v>
      </c>
      <c r="S119" s="19">
        <f t="shared" si="81"/>
        <v>-0.9488022648643265</v>
      </c>
      <c r="T119" s="19">
        <f t="shared" si="81"/>
        <v>-0.9484858975666196</v>
      </c>
      <c r="U119" s="19">
        <f t="shared" si="81"/>
        <v>-0.8886875178326612</v>
      </c>
      <c r="V119" s="19">
        <f t="shared" si="81"/>
        <v>-0.7744131208349007</v>
      </c>
      <c r="W119" s="19">
        <f t="shared" si="81"/>
        <v>-0.6144047919996325</v>
      </c>
      <c r="X119" s="19">
        <f t="shared" si="81"/>
        <v>-0.42021864706078893</v>
      </c>
      <c r="Y119" s="19">
        <f t="shared" si="81"/>
        <v>-0.20511073225681092</v>
      </c>
      <c r="Z119" s="19">
        <f t="shared" si="81"/>
        <v>0.01699999999999976</v>
      </c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ht="12.75">
      <c r="A120" s="8" t="s">
        <v>100</v>
      </c>
      <c r="B120" s="19">
        <f aca="true" t="shared" si="82" ref="B120:Z120">B99-B84*(B119-B98)</f>
        <v>-0.05779165710273504</v>
      </c>
      <c r="C120" s="19">
        <f t="shared" si="82"/>
        <v>-0.32124293485122224</v>
      </c>
      <c r="D120" s="19">
        <f t="shared" si="82"/>
        <v>-0.5621471567840688</v>
      </c>
      <c r="E120" s="19">
        <f t="shared" si="82"/>
        <v>-0.7626825398040517</v>
      </c>
      <c r="F120" s="19">
        <f t="shared" si="82"/>
        <v>-0.9088447142150471</v>
      </c>
      <c r="G120" s="19">
        <f t="shared" si="82"/>
        <v>-0.9912065845720939</v>
      </c>
      <c r="H120" s="19">
        <f t="shared" si="82"/>
        <v>-1.0050610710762502</v>
      </c>
      <c r="I120" s="19">
        <f t="shared" si="82"/>
        <v>-0.9503322640382306</v>
      </c>
      <c r="J120" s="19">
        <f t="shared" si="82"/>
        <v>-0.8313909490060255</v>
      </c>
      <c r="K120" s="19">
        <f t="shared" si="82"/>
        <v>-0.6567314037338974</v>
      </c>
      <c r="L120" s="19">
        <f t="shared" si="82"/>
        <v>-0.43843561742287196</v>
      </c>
      <c r="M120" s="19">
        <f t="shared" si="82"/>
        <v>-0.1913961441301979</v>
      </c>
      <c r="N120" s="19">
        <f t="shared" si="82"/>
        <v>0.0676755344281239</v>
      </c>
      <c r="O120" s="19">
        <f t="shared" si="82"/>
        <v>0.32138677173900554</v>
      </c>
      <c r="P120" s="19">
        <f t="shared" si="82"/>
        <v>0.55285473842866</v>
      </c>
      <c r="Q120" s="19">
        <f t="shared" si="82"/>
        <v>0.7468471973068632</v>
      </c>
      <c r="R120" s="19">
        <f t="shared" si="82"/>
        <v>0.8907707597356149</v>
      </c>
      <c r="S120" s="19">
        <f t="shared" si="82"/>
        <v>0.9754170662438681</v>
      </c>
      <c r="T120" s="19">
        <f t="shared" si="82"/>
        <v>0.9954057255805246</v>
      </c>
      <c r="U120" s="19">
        <f t="shared" si="82"/>
        <v>0.9493158260913966</v>
      </c>
      <c r="V120" s="19">
        <f t="shared" si="82"/>
        <v>0.8395831187847004</v>
      </c>
      <c r="W120" s="19">
        <f t="shared" si="82"/>
        <v>0.6723381421841736</v>
      </c>
      <c r="X120" s="19">
        <f t="shared" si="82"/>
        <v>0.4573812884761781</v>
      </c>
      <c r="Y120" s="19">
        <f t="shared" si="82"/>
        <v>0.20828686773758287</v>
      </c>
      <c r="Z120" s="19">
        <f t="shared" si="82"/>
        <v>-0.05779165710273482</v>
      </c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ht="12.75">
      <c r="A121" s="8" t="s">
        <v>101</v>
      </c>
      <c r="B121" s="19">
        <f aca="true" t="shared" si="83" ref="B121:Z121">B100+B84*(B118-B97)</f>
        <v>0.8440227746983802</v>
      </c>
      <c r="C121" s="19">
        <f t="shared" si="83"/>
        <v>0.7919245016940498</v>
      </c>
      <c r="D121" s="19">
        <f t="shared" si="83"/>
        <v>0.6901754455559757</v>
      </c>
      <c r="E121" s="19">
        <f t="shared" si="83"/>
        <v>0.5430792625763138</v>
      </c>
      <c r="F121" s="19">
        <f t="shared" si="83"/>
        <v>0.357789305764435</v>
      </c>
      <c r="G121" s="19">
        <f t="shared" si="83"/>
        <v>0.14496846366382318</v>
      </c>
      <c r="H121" s="19">
        <f t="shared" si="83"/>
        <v>-0.08152635764641811</v>
      </c>
      <c r="I121" s="19">
        <f t="shared" si="83"/>
        <v>-0.30578270847111927</v>
      </c>
      <c r="J121" s="19">
        <f t="shared" si="83"/>
        <v>-0.5113593163085093</v>
      </c>
      <c r="K121" s="19">
        <f t="shared" si="83"/>
        <v>-0.682838347263831</v>
      </c>
      <c r="L121" s="19">
        <f t="shared" si="83"/>
        <v>-0.807196712232059</v>
      </c>
      <c r="M121" s="19">
        <f t="shared" si="83"/>
        <v>-0.8748973964019394</v>
      </c>
      <c r="N121" s="19">
        <f t="shared" si="83"/>
        <v>-0.8806532229437745</v>
      </c>
      <c r="O121" s="19">
        <f t="shared" si="83"/>
        <v>-0.8238388615982637</v>
      </c>
      <c r="P121" s="19">
        <f t="shared" si="83"/>
        <v>-0.708542621630893</v>
      </c>
      <c r="Q121" s="19">
        <f t="shared" si="83"/>
        <v>-0.5432648065952576</v>
      </c>
      <c r="R121" s="19">
        <f t="shared" si="83"/>
        <v>-0.34028344015643447</v>
      </c>
      <c r="S121" s="19">
        <f t="shared" si="83"/>
        <v>-0.11471784069798688</v>
      </c>
      <c r="T121" s="19">
        <f t="shared" si="83"/>
        <v>0.1166749102311888</v>
      </c>
      <c r="U121" s="19">
        <f t="shared" si="83"/>
        <v>0.33692795374459905</v>
      </c>
      <c r="V121" s="19">
        <f t="shared" si="83"/>
        <v>0.5304385321425563</v>
      </c>
      <c r="W121" s="19">
        <f t="shared" si="83"/>
        <v>0.6845046086495012</v>
      </c>
      <c r="X121" s="19">
        <f t="shared" si="83"/>
        <v>0.7904607019176615</v>
      </c>
      <c r="Y121" s="19">
        <f t="shared" si="83"/>
        <v>0.8439351713080017</v>
      </c>
      <c r="Z121" s="19">
        <f t="shared" si="83"/>
        <v>0.8440227746983802</v>
      </c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ht="12.75">
      <c r="A122" s="8" t="s">
        <v>102</v>
      </c>
      <c r="B122" s="19">
        <f aca="true" t="shared" si="84" ref="B122:Z122">B101-B93*(B119-B98)-B84*(B121-B100)</f>
        <v>-1.024230959365231</v>
      </c>
      <c r="C122" s="19">
        <f t="shared" si="84"/>
        <v>-0.9755437129624734</v>
      </c>
      <c r="D122" s="19">
        <f t="shared" si="84"/>
        <v>-0.8533716482120557</v>
      </c>
      <c r="E122" s="19">
        <f t="shared" si="84"/>
        <v>-0.6696462722701442</v>
      </c>
      <c r="F122" s="19">
        <f t="shared" si="84"/>
        <v>-0.44094385496728183</v>
      </c>
      <c r="G122" s="19">
        <f t="shared" si="84"/>
        <v>-0.18526454303558695</v>
      </c>
      <c r="H122" s="19">
        <f t="shared" si="84"/>
        <v>0.07946129660738395</v>
      </c>
      <c r="I122" s="19">
        <f t="shared" si="84"/>
        <v>0.3358336634294151</v>
      </c>
      <c r="J122" s="19">
        <f t="shared" si="84"/>
        <v>0.5673695821489554</v>
      </c>
      <c r="K122" s="19">
        <f t="shared" si="84"/>
        <v>0.7591896780461063</v>
      </c>
      <c r="L122" s="19">
        <f t="shared" si="84"/>
        <v>0.8989226150785941</v>
      </c>
      <c r="M122" s="19">
        <f t="shared" si="84"/>
        <v>0.9776077861834871</v>
      </c>
      <c r="N122" s="19">
        <f t="shared" si="84"/>
        <v>0.990404769636723</v>
      </c>
      <c r="O122" s="19">
        <f t="shared" si="84"/>
        <v>0.9369847980483237</v>
      </c>
      <c r="P122" s="19">
        <f t="shared" si="84"/>
        <v>0.8215393188613872</v>
      </c>
      <c r="Q122" s="19">
        <f t="shared" si="84"/>
        <v>0.6523886049280173</v>
      </c>
      <c r="R122" s="19">
        <f t="shared" si="84"/>
        <v>0.4412158704134208</v>
      </c>
      <c r="S122" s="19">
        <f t="shared" si="84"/>
        <v>0.20200130306999545</v>
      </c>
      <c r="T122" s="19">
        <f t="shared" si="84"/>
        <v>-0.05019554568374924</v>
      </c>
      <c r="U122" s="19">
        <f t="shared" si="84"/>
        <v>-0.3003422450221361</v>
      </c>
      <c r="V122" s="19">
        <f t="shared" si="84"/>
        <v>-0.5340490697776803</v>
      </c>
      <c r="W122" s="19">
        <f t="shared" si="84"/>
        <v>-0.7373800759833062</v>
      </c>
      <c r="X122" s="19">
        <f t="shared" si="84"/>
        <v>-0.8961223816414038</v>
      </c>
      <c r="Y122" s="19">
        <f t="shared" si="84"/>
        <v>-0.9958289775307599</v>
      </c>
      <c r="Z122" s="19">
        <f t="shared" si="84"/>
        <v>-1.0242309593652312</v>
      </c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ht="12.75">
      <c r="A123" s="8" t="s">
        <v>103</v>
      </c>
      <c r="B123" s="19">
        <f aca="true" t="shared" si="85" ref="B123:Z123">B102+B93*(B118-B97)+B84*(B120-B100)</f>
        <v>-0.24313320862667098</v>
      </c>
      <c r="C123" s="19">
        <f t="shared" si="85"/>
        <v>-0.4256929507659536</v>
      </c>
      <c r="D123" s="19">
        <f t="shared" si="85"/>
        <v>-0.5671902771898178</v>
      </c>
      <c r="E123" s="19">
        <f t="shared" si="85"/>
        <v>-0.6780355234081827</v>
      </c>
      <c r="F123" s="19">
        <f t="shared" si="85"/>
        <v>-0.7660054273605019</v>
      </c>
      <c r="G123" s="19">
        <f t="shared" si="85"/>
        <v>-0.8286680393793417</v>
      </c>
      <c r="H123" s="19">
        <f t="shared" si="85"/>
        <v>-0.8553081762541908</v>
      </c>
      <c r="I123" s="19">
        <f t="shared" si="85"/>
        <v>-0.833524842725074</v>
      </c>
      <c r="J123" s="19">
        <f t="shared" si="85"/>
        <v>-0.7551249814152459</v>
      </c>
      <c r="K123" s="19">
        <f t="shared" si="85"/>
        <v>-0.6191685662720733</v>
      </c>
      <c r="L123" s="19">
        <f t="shared" si="85"/>
        <v>-0.43241353767168467</v>
      </c>
      <c r="M123" s="19">
        <f t="shared" si="85"/>
        <v>-0.20812278212250018</v>
      </c>
      <c r="N123" s="19">
        <f t="shared" si="85"/>
        <v>0.03593607087404313</v>
      </c>
      <c r="O123" s="19">
        <f t="shared" si="85"/>
        <v>0.27975449492552573</v>
      </c>
      <c r="P123" s="19">
        <f t="shared" si="85"/>
        <v>0.5032708913212631</v>
      </c>
      <c r="Q123" s="19">
        <f t="shared" si="85"/>
        <v>0.6882558018762659</v>
      </c>
      <c r="R123" s="19">
        <f t="shared" si="85"/>
        <v>0.8197386575086453</v>
      </c>
      <c r="S123" s="19">
        <f t="shared" si="85"/>
        <v>0.8868956115560288</v>
      </c>
      <c r="T123" s="19">
        <f t="shared" si="85"/>
        <v>0.8834500615424015</v>
      </c>
      <c r="U123" s="19">
        <f t="shared" si="85"/>
        <v>0.8078857250188755</v>
      </c>
      <c r="V123" s="19">
        <f t="shared" si="85"/>
        <v>0.6641041871537328</v>
      </c>
      <c r="W123" s="19">
        <f t="shared" si="85"/>
        <v>0.46316268582921494</v>
      </c>
      <c r="X123" s="19">
        <f t="shared" si="85"/>
        <v>0.2254641783268726</v>
      </c>
      <c r="Y123" s="19">
        <f t="shared" si="85"/>
        <v>-0.019953118262313427</v>
      </c>
      <c r="Z123" s="19">
        <f t="shared" si="85"/>
        <v>-0.24313320862667076</v>
      </c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ht="12.75">
      <c r="A124" s="8" t="s">
        <v>49</v>
      </c>
      <c r="B124" s="19">
        <f aca="true" t="shared" si="86" ref="B124:Z124">0.5*$L$4*(B120^2+B121^2)+0.5*$J$4*B84^2</f>
        <v>0.3697760936928137</v>
      </c>
      <c r="C124" s="19">
        <f t="shared" si="86"/>
        <v>0.3778563218333521</v>
      </c>
      <c r="D124" s="19">
        <f t="shared" si="86"/>
        <v>0.40731001203600137</v>
      </c>
      <c r="E124" s="19">
        <f t="shared" si="86"/>
        <v>0.4464128601736631</v>
      </c>
      <c r="F124" s="19">
        <f t="shared" si="86"/>
        <v>0.48177335750089145</v>
      </c>
      <c r="G124" s="19">
        <f t="shared" si="86"/>
        <v>0.5038111535326159</v>
      </c>
      <c r="H124" s="19">
        <f t="shared" si="86"/>
        <v>0.508842097913725</v>
      </c>
      <c r="I124" s="19">
        <f t="shared" si="86"/>
        <v>0.4983227091731901</v>
      </c>
      <c r="J124" s="19">
        <f t="shared" si="86"/>
        <v>0.47692758960758264</v>
      </c>
      <c r="K124" s="19">
        <f t="shared" si="86"/>
        <v>0.4506699434210887</v>
      </c>
      <c r="L124" s="19">
        <f t="shared" si="86"/>
        <v>0.42551473757958724</v>
      </c>
      <c r="M124" s="19">
        <f t="shared" si="86"/>
        <v>0.40648391991178356</v>
      </c>
      <c r="N124" s="19">
        <f t="shared" si="86"/>
        <v>0.39711376038477514</v>
      </c>
      <c r="O124" s="19">
        <f t="shared" si="86"/>
        <v>0.39913615986616424</v>
      </c>
      <c r="P124" s="19">
        <f t="shared" si="86"/>
        <v>0.41230710043483343</v>
      </c>
      <c r="Q124" s="19">
        <f t="shared" si="86"/>
        <v>0.4343551285225998</v>
      </c>
      <c r="R124" s="19">
        <f t="shared" si="86"/>
        <v>0.4610716577428851</v>
      </c>
      <c r="S124" s="19">
        <f t="shared" si="86"/>
        <v>0.4866283138859501</v>
      </c>
      <c r="T124" s="19">
        <f t="shared" si="86"/>
        <v>0.5042894944735142</v>
      </c>
      <c r="U124" s="19">
        <f t="shared" si="86"/>
        <v>0.5077499631180787</v>
      </c>
      <c r="V124" s="19">
        <f t="shared" si="86"/>
        <v>0.4932332658796242</v>
      </c>
      <c r="W124" s="19">
        <f t="shared" si="86"/>
        <v>0.46201019420894957</v>
      </c>
      <c r="X124" s="19">
        <f t="shared" si="86"/>
        <v>0.42205324378105424</v>
      </c>
      <c r="Y124" s="19">
        <f t="shared" si="86"/>
        <v>0.38677574860060104</v>
      </c>
      <c r="Z124" s="19">
        <f t="shared" si="86"/>
        <v>0.3697760936928137</v>
      </c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ht="12.75">
      <c r="A125" s="8" t="s">
        <v>140</v>
      </c>
      <c r="B125" s="19">
        <f aca="true" t="shared" si="87" ref="B125:Z125">$L$4*B122</f>
        <v>-1.024230959365231</v>
      </c>
      <c r="C125" s="19">
        <f t="shared" si="87"/>
        <v>-0.9755437129624734</v>
      </c>
      <c r="D125" s="19">
        <f t="shared" si="87"/>
        <v>-0.8533716482120557</v>
      </c>
      <c r="E125" s="19">
        <f t="shared" si="87"/>
        <v>-0.6696462722701442</v>
      </c>
      <c r="F125" s="19">
        <f t="shared" si="87"/>
        <v>-0.44094385496728183</v>
      </c>
      <c r="G125" s="19">
        <f t="shared" si="87"/>
        <v>-0.18526454303558695</v>
      </c>
      <c r="H125" s="19">
        <f t="shared" si="87"/>
        <v>0.07946129660738395</v>
      </c>
      <c r="I125" s="19">
        <f t="shared" si="87"/>
        <v>0.3358336634294151</v>
      </c>
      <c r="J125" s="19">
        <f t="shared" si="87"/>
        <v>0.5673695821489554</v>
      </c>
      <c r="K125" s="19">
        <f t="shared" si="87"/>
        <v>0.7591896780461063</v>
      </c>
      <c r="L125" s="19">
        <f t="shared" si="87"/>
        <v>0.8989226150785941</v>
      </c>
      <c r="M125" s="19">
        <f t="shared" si="87"/>
        <v>0.9776077861834871</v>
      </c>
      <c r="N125" s="19">
        <f t="shared" si="87"/>
        <v>0.990404769636723</v>
      </c>
      <c r="O125" s="19">
        <f t="shared" si="87"/>
        <v>0.9369847980483237</v>
      </c>
      <c r="P125" s="19">
        <f t="shared" si="87"/>
        <v>0.8215393188613872</v>
      </c>
      <c r="Q125" s="19">
        <f t="shared" si="87"/>
        <v>0.6523886049280173</v>
      </c>
      <c r="R125" s="19">
        <f t="shared" si="87"/>
        <v>0.4412158704134208</v>
      </c>
      <c r="S125" s="19">
        <f t="shared" si="87"/>
        <v>0.20200130306999545</v>
      </c>
      <c r="T125" s="19">
        <f t="shared" si="87"/>
        <v>-0.05019554568374924</v>
      </c>
      <c r="U125" s="19">
        <f t="shared" si="87"/>
        <v>-0.3003422450221361</v>
      </c>
      <c r="V125" s="19">
        <f t="shared" si="87"/>
        <v>-0.5340490697776803</v>
      </c>
      <c r="W125" s="19">
        <f t="shared" si="87"/>
        <v>-0.7373800759833062</v>
      </c>
      <c r="X125" s="19">
        <f t="shared" si="87"/>
        <v>-0.8961223816414038</v>
      </c>
      <c r="Y125" s="19">
        <f t="shared" si="87"/>
        <v>-0.9958289775307599</v>
      </c>
      <c r="Z125" s="19">
        <f t="shared" si="87"/>
        <v>-1.0242309593652312</v>
      </c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ht="12.75">
      <c r="A126" s="8" t="s">
        <v>141</v>
      </c>
      <c r="B126" s="19">
        <f aca="true" t="shared" si="88" ref="B126:Z126">$L$4*B123</f>
        <v>-0.24313320862667098</v>
      </c>
      <c r="C126" s="19">
        <f t="shared" si="88"/>
        <v>-0.4256929507659536</v>
      </c>
      <c r="D126" s="19">
        <f t="shared" si="88"/>
        <v>-0.5671902771898178</v>
      </c>
      <c r="E126" s="19">
        <f t="shared" si="88"/>
        <v>-0.6780355234081827</v>
      </c>
      <c r="F126" s="19">
        <f t="shared" si="88"/>
        <v>-0.7660054273605019</v>
      </c>
      <c r="G126" s="19">
        <f t="shared" si="88"/>
        <v>-0.8286680393793417</v>
      </c>
      <c r="H126" s="19">
        <f t="shared" si="88"/>
        <v>-0.8553081762541908</v>
      </c>
      <c r="I126" s="19">
        <f t="shared" si="88"/>
        <v>-0.833524842725074</v>
      </c>
      <c r="J126" s="19">
        <f t="shared" si="88"/>
        <v>-0.7551249814152459</v>
      </c>
      <c r="K126" s="19">
        <f t="shared" si="88"/>
        <v>-0.6191685662720733</v>
      </c>
      <c r="L126" s="19">
        <f t="shared" si="88"/>
        <v>-0.43241353767168467</v>
      </c>
      <c r="M126" s="19">
        <f t="shared" si="88"/>
        <v>-0.20812278212250018</v>
      </c>
      <c r="N126" s="19">
        <f t="shared" si="88"/>
        <v>0.03593607087404313</v>
      </c>
      <c r="O126" s="19">
        <f t="shared" si="88"/>
        <v>0.27975449492552573</v>
      </c>
      <c r="P126" s="19">
        <f t="shared" si="88"/>
        <v>0.5032708913212631</v>
      </c>
      <c r="Q126" s="19">
        <f t="shared" si="88"/>
        <v>0.6882558018762659</v>
      </c>
      <c r="R126" s="19">
        <f t="shared" si="88"/>
        <v>0.8197386575086453</v>
      </c>
      <c r="S126" s="19">
        <f t="shared" si="88"/>
        <v>0.8868956115560288</v>
      </c>
      <c r="T126" s="19">
        <f t="shared" si="88"/>
        <v>0.8834500615424015</v>
      </c>
      <c r="U126" s="19">
        <f t="shared" si="88"/>
        <v>0.8078857250188755</v>
      </c>
      <c r="V126" s="19">
        <f t="shared" si="88"/>
        <v>0.6641041871537328</v>
      </c>
      <c r="W126" s="19">
        <f t="shared" si="88"/>
        <v>0.46316268582921494</v>
      </c>
      <c r="X126" s="19">
        <f t="shared" si="88"/>
        <v>0.2254641783268726</v>
      </c>
      <c r="Y126" s="19">
        <f t="shared" si="88"/>
        <v>-0.019953118262313427</v>
      </c>
      <c r="Z126" s="19">
        <f t="shared" si="88"/>
        <v>-0.24313320862667076</v>
      </c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ht="12.75">
      <c r="A127" s="8" t="s">
        <v>142</v>
      </c>
      <c r="B127" s="19">
        <f aca="true" t="shared" si="89" ref="B127:Z127">$J$5*B93</f>
        <v>-0.04898376272503404</v>
      </c>
      <c r="C127" s="19">
        <f t="shared" si="89"/>
        <v>0.01120295657901487</v>
      </c>
      <c r="D127" s="19">
        <f t="shared" si="89"/>
        <v>0.06356881468875218</v>
      </c>
      <c r="E127" s="19">
        <f t="shared" si="89"/>
        <v>0.10119605880868114</v>
      </c>
      <c r="F127" s="19">
        <f t="shared" si="89"/>
        <v>0.12283857703523646</v>
      </c>
      <c r="G127" s="19">
        <f t="shared" si="89"/>
        <v>0.13109872309663131</v>
      </c>
      <c r="H127" s="19">
        <f t="shared" si="89"/>
        <v>0.12985295777602715</v>
      </c>
      <c r="I127" s="19">
        <f t="shared" si="89"/>
        <v>0.12252539865642299</v>
      </c>
      <c r="J127" s="19">
        <f t="shared" si="89"/>
        <v>0.11144540671805704</v>
      </c>
      <c r="K127" s="19">
        <f t="shared" si="89"/>
        <v>0.0978750516135351</v>
      </c>
      <c r="L127" s="19">
        <f t="shared" si="89"/>
        <v>0.08228784438677096</v>
      </c>
      <c r="M127" s="19">
        <f t="shared" si="89"/>
        <v>0.06466951444428705</v>
      </c>
      <c r="N127" s="19">
        <f t="shared" si="89"/>
        <v>0.04476108774899217</v>
      </c>
      <c r="O127" s="19">
        <f t="shared" si="89"/>
        <v>0.022239768233342692</v>
      </c>
      <c r="P127" s="19">
        <f t="shared" si="89"/>
        <v>-0.00313628466036136</v>
      </c>
      <c r="Q127" s="19">
        <f t="shared" si="89"/>
        <v>-0.03137983081027014</v>
      </c>
      <c r="R127" s="19">
        <f t="shared" si="89"/>
        <v>-0.062076253424680705</v>
      </c>
      <c r="S127" s="19">
        <f t="shared" si="89"/>
        <v>-0.09409142104750408</v>
      </c>
      <c r="T127" s="19">
        <f t="shared" si="89"/>
        <v>-0.12517755313535298</v>
      </c>
      <c r="U127" s="19">
        <f t="shared" si="89"/>
        <v>-0.1515774132717808</v>
      </c>
      <c r="V127" s="19">
        <f t="shared" si="89"/>
        <v>-0.1679436995676246</v>
      </c>
      <c r="W127" s="19">
        <f t="shared" si="89"/>
        <v>-0.1681420834087018</v>
      </c>
      <c r="X127" s="19">
        <f t="shared" si="89"/>
        <v>-0.1474371327596998</v>
      </c>
      <c r="Y127" s="19">
        <f t="shared" si="89"/>
        <v>-0.10561672497474071</v>
      </c>
      <c r="Z127" s="19">
        <f t="shared" si="89"/>
        <v>-0.04898376272503407</v>
      </c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ht="12.75">
      <c r="A128" s="8" t="s">
        <v>143</v>
      </c>
      <c r="B128" s="19">
        <f aca="true" t="shared" si="90" ref="B128:Z128">B125*B120+B126*B121+B127*B84</f>
        <v>-0.1384551047500872</v>
      </c>
      <c r="C128" s="19">
        <f t="shared" si="90"/>
        <v>-0.025514597586819735</v>
      </c>
      <c r="D128" s="19">
        <f t="shared" si="90"/>
        <v>0.07877351211905292</v>
      </c>
      <c r="E128" s="19">
        <f t="shared" si="90"/>
        <v>0.12961795575591664</v>
      </c>
      <c r="F128" s="19">
        <f t="shared" si="90"/>
        <v>0.11468620092411641</v>
      </c>
      <c r="G128" s="19">
        <f t="shared" si="90"/>
        <v>0.055093967475462934</v>
      </c>
      <c r="H128" s="19">
        <f t="shared" si="90"/>
        <v>-0.014006947200227885</v>
      </c>
      <c r="I128" s="19">
        <f t="shared" si="90"/>
        <v>-0.063870793437209</v>
      </c>
      <c r="J128" s="19">
        <f t="shared" si="90"/>
        <v>-0.08177673044994296</v>
      </c>
      <c r="K128" s="19">
        <f t="shared" si="90"/>
        <v>-0.06977768719885899</v>
      </c>
      <c r="L128" s="19">
        <f t="shared" si="90"/>
        <v>-0.03807655925066842</v>
      </c>
      <c r="M128" s="19">
        <f t="shared" si="90"/>
        <v>0.0017242866826975714</v>
      </c>
      <c r="N128" s="19">
        <f t="shared" si="90"/>
        <v>0.04069355830805729</v>
      </c>
      <c r="O128" s="19">
        <f t="shared" si="90"/>
        <v>0.07349887277829657</v>
      </c>
      <c r="P128" s="19">
        <f t="shared" si="90"/>
        <v>0.09719491131350443</v>
      </c>
      <c r="Q128" s="19">
        <f t="shared" si="90"/>
        <v>0.10938595245954867</v>
      </c>
      <c r="R128" s="19">
        <f t="shared" si="90"/>
        <v>0.10703422707040526</v>
      </c>
      <c r="S128" s="19">
        <f t="shared" si="90"/>
        <v>0.0865377193592077</v>
      </c>
      <c r="T128" s="19">
        <f t="shared" si="90"/>
        <v>0.04506367158337983</v>
      </c>
      <c r="U128" s="19">
        <f t="shared" si="90"/>
        <v>-0.01715081848787796</v>
      </c>
      <c r="V128" s="19">
        <f t="shared" si="90"/>
        <v>-0.09372708430192947</v>
      </c>
      <c r="W128" s="19">
        <f t="shared" si="90"/>
        <v>-0.1688767782741427</v>
      </c>
      <c r="X128" s="19">
        <f t="shared" si="90"/>
        <v>-0.21684593521002313</v>
      </c>
      <c r="Y128" s="19">
        <f t="shared" si="90"/>
        <v>-0.21011030935900707</v>
      </c>
      <c r="Z128" s="19">
        <f t="shared" si="90"/>
        <v>-0.13845510475008724</v>
      </c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ht="12.75">
      <c r="A129" s="8" t="s">
        <v>144</v>
      </c>
      <c r="B129" s="19">
        <f aca="true" t="shared" si="91" ref="B129:Z129">$J$10*$L$4*B121</f>
        <v>8.440227746983801</v>
      </c>
      <c r="C129" s="19">
        <f t="shared" si="91"/>
        <v>7.919245016940498</v>
      </c>
      <c r="D129" s="19">
        <f t="shared" si="91"/>
        <v>6.9017544555597565</v>
      </c>
      <c r="E129" s="19">
        <f t="shared" si="91"/>
        <v>5.430792625763138</v>
      </c>
      <c r="F129" s="19">
        <f t="shared" si="91"/>
        <v>3.57789305764435</v>
      </c>
      <c r="G129" s="19">
        <f t="shared" si="91"/>
        <v>1.4496846366382319</v>
      </c>
      <c r="H129" s="19">
        <f t="shared" si="91"/>
        <v>-0.8152635764641811</v>
      </c>
      <c r="I129" s="19">
        <f t="shared" si="91"/>
        <v>-3.057827084711193</v>
      </c>
      <c r="J129" s="19">
        <f t="shared" si="91"/>
        <v>-5.113593163085093</v>
      </c>
      <c r="K129" s="19">
        <f t="shared" si="91"/>
        <v>-6.8283834726383095</v>
      </c>
      <c r="L129" s="19">
        <f t="shared" si="91"/>
        <v>-8.07196712232059</v>
      </c>
      <c r="M129" s="19">
        <f t="shared" si="91"/>
        <v>-8.748973964019394</v>
      </c>
      <c r="N129" s="19">
        <f t="shared" si="91"/>
        <v>-8.806532229437744</v>
      </c>
      <c r="O129" s="19">
        <f t="shared" si="91"/>
        <v>-8.238388615982636</v>
      </c>
      <c r="P129" s="19">
        <f t="shared" si="91"/>
        <v>-7.08542621630893</v>
      </c>
      <c r="Q129" s="19">
        <f t="shared" si="91"/>
        <v>-5.432648065952575</v>
      </c>
      <c r="R129" s="19">
        <f t="shared" si="91"/>
        <v>-3.402834401564345</v>
      </c>
      <c r="S129" s="19">
        <f t="shared" si="91"/>
        <v>-1.1471784069798687</v>
      </c>
      <c r="T129" s="19">
        <f t="shared" si="91"/>
        <v>1.1667491023118879</v>
      </c>
      <c r="U129" s="19">
        <f t="shared" si="91"/>
        <v>3.3692795374459905</v>
      </c>
      <c r="V129" s="19">
        <f t="shared" si="91"/>
        <v>5.304385321425563</v>
      </c>
      <c r="W129" s="19">
        <f t="shared" si="91"/>
        <v>6.845046086495012</v>
      </c>
      <c r="X129" s="19">
        <f t="shared" si="91"/>
        <v>7.9046070191766145</v>
      </c>
      <c r="Y129" s="19">
        <f t="shared" si="91"/>
        <v>8.439351713080017</v>
      </c>
      <c r="Z129" s="19">
        <f t="shared" si="91"/>
        <v>8.440227746983801</v>
      </c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ht="12.75">
      <c r="A130" s="28" t="s">
        <v>155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ht="12.75">
      <c r="A131" s="8" t="s">
        <v>130</v>
      </c>
      <c r="B131" s="19">
        <f aca="true" t="shared" si="92" ref="B131:Z131">B125+B165</f>
        <v>-1.024230959365231</v>
      </c>
      <c r="C131" s="19">
        <f t="shared" si="92"/>
        <v>-0.9745370982800133</v>
      </c>
      <c r="D131" s="19">
        <f t="shared" si="92"/>
        <v>-0.8538520244023579</v>
      </c>
      <c r="E131" s="19">
        <f t="shared" si="92"/>
        <v>-0.6721600043892617</v>
      </c>
      <c r="F131" s="19">
        <f t="shared" si="92"/>
        <v>-0.4440293828640893</v>
      </c>
      <c r="G131" s="19">
        <f t="shared" si="92"/>
        <v>-0.1871848398128339</v>
      </c>
      <c r="H131" s="19">
        <f t="shared" si="92"/>
        <v>0.07927188669834806</v>
      </c>
      <c r="I131" s="19">
        <f t="shared" si="92"/>
        <v>0.3365976942526641</v>
      </c>
      <c r="J131" s="19">
        <f t="shared" si="92"/>
        <v>0.5677201700261263</v>
      </c>
      <c r="K131" s="19">
        <f t="shared" si="92"/>
        <v>0.7580969748373068</v>
      </c>
      <c r="L131" s="19">
        <f t="shared" si="92"/>
        <v>0.896283803841914</v>
      </c>
      <c r="M131" s="19">
        <f t="shared" si="92"/>
        <v>0.9743479030297998</v>
      </c>
      <c r="N131" s="19">
        <f t="shared" si="92"/>
        <v>0.9881689801994139</v>
      </c>
      <c r="O131" s="19">
        <f t="shared" si="92"/>
        <v>0.9375953138210598</v>
      </c>
      <c r="P131" s="19">
        <f t="shared" si="92"/>
        <v>0.82639173174661</v>
      </c>
      <c r="Q131" s="19">
        <f t="shared" si="92"/>
        <v>0.6619257363633416</v>
      </c>
      <c r="R131" s="19">
        <f t="shared" si="92"/>
        <v>0.4545859910916596</v>
      </c>
      <c r="S131" s="19">
        <f t="shared" si="92"/>
        <v>0.21701123387610954</v>
      </c>
      <c r="T131" s="19">
        <f t="shared" si="92"/>
        <v>-0.03668848315944051</v>
      </c>
      <c r="U131" s="19">
        <f t="shared" si="92"/>
        <v>-0.2914700158279211</v>
      </c>
      <c r="V131" s="19">
        <f t="shared" si="92"/>
        <v>-0.5315055414965382</v>
      </c>
      <c r="W131" s="19">
        <f t="shared" si="92"/>
        <v>-0.7401934312650714</v>
      </c>
      <c r="X131" s="19">
        <f t="shared" si="92"/>
        <v>-0.9008376659022029</v>
      </c>
      <c r="Y131" s="19">
        <f t="shared" si="92"/>
        <v>-0.9987509745875893</v>
      </c>
      <c r="Z131" s="19">
        <f t="shared" si="92"/>
        <v>-1.0242309593652312</v>
      </c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ht="12.75">
      <c r="A132" s="8" t="s">
        <v>131</v>
      </c>
      <c r="B132" s="19">
        <f aca="true" t="shared" si="93" ref="B132:Z132">B126+B166+$L$4*$J$10</f>
        <v>24.98000873224659</v>
      </c>
      <c r="C132" s="19">
        <f t="shared" si="93"/>
        <v>26.10423256040242</v>
      </c>
      <c r="D132" s="19">
        <f t="shared" si="93"/>
        <v>27.253258227314262</v>
      </c>
      <c r="E132" s="19">
        <f t="shared" si="93"/>
        <v>28.149877514824055</v>
      </c>
      <c r="F132" s="19">
        <f t="shared" si="93"/>
        <v>28.50452150652605</v>
      </c>
      <c r="G132" s="19">
        <f t="shared" si="93"/>
        <v>28.201786997078866</v>
      </c>
      <c r="H132" s="19">
        <f t="shared" si="93"/>
        <v>27.365240906285464</v>
      </c>
      <c r="I132" s="19">
        <f t="shared" si="93"/>
        <v>26.247625415166375</v>
      </c>
      <c r="J132" s="19">
        <f t="shared" si="93"/>
        <v>25.08584529403545</v>
      </c>
      <c r="K132" s="19">
        <f t="shared" si="93"/>
        <v>24.03259003132462</v>
      </c>
      <c r="L132" s="19">
        <f t="shared" si="93"/>
        <v>23.158497364851744</v>
      </c>
      <c r="M132" s="19">
        <f t="shared" si="93"/>
        <v>22.479548368941288</v>
      </c>
      <c r="N132" s="19">
        <f t="shared" si="93"/>
        <v>21.982789404834563</v>
      </c>
      <c r="O132" s="19">
        <f t="shared" si="93"/>
        <v>21.643590771417774</v>
      </c>
      <c r="P132" s="19">
        <f t="shared" si="93"/>
        <v>21.435767396857567</v>
      </c>
      <c r="Q132" s="19">
        <f t="shared" si="93"/>
        <v>21.33713681076746</v>
      </c>
      <c r="R132" s="19">
        <f t="shared" si="93"/>
        <v>21.332313518051457</v>
      </c>
      <c r="S132" s="19">
        <f t="shared" si="93"/>
        <v>21.41363682224758</v>
      </c>
      <c r="T132" s="19">
        <f t="shared" si="93"/>
        <v>21.580588925644662</v>
      </c>
      <c r="U132" s="19">
        <f t="shared" si="93"/>
        <v>21.83805870617954</v>
      </c>
      <c r="V132" s="19">
        <f t="shared" si="93"/>
        <v>22.194523274556637</v>
      </c>
      <c r="W132" s="19">
        <f t="shared" si="93"/>
        <v>22.662353726143536</v>
      </c>
      <c r="X132" s="19">
        <f t="shared" si="93"/>
        <v>23.26191194483879</v>
      </c>
      <c r="Y132" s="19">
        <f t="shared" si="93"/>
        <v>24.024829550033353</v>
      </c>
      <c r="Z132" s="19">
        <f t="shared" si="93"/>
        <v>24.980008732246592</v>
      </c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ht="12.75">
      <c r="A133" s="8" t="s">
        <v>120</v>
      </c>
      <c r="B133" s="27">
        <f aca="true" t="shared" si="94" ref="B133:Z133">B127+B167*B85/B84-B125*(B119-B27)-B165*(B98-B27)+(B126+$L$4*$J$10)*(B118-B26)+B166*(B97-B26)</f>
        <v>61.14083064456918</v>
      </c>
      <c r="C133" s="27">
        <f t="shared" si="94"/>
        <v>71.7775407608892</v>
      </c>
      <c r="D133" s="27">
        <f t="shared" si="94"/>
        <v>83.14922107632985</v>
      </c>
      <c r="E133" s="27">
        <f t="shared" si="94"/>
        <v>93.36692226666432</v>
      </c>
      <c r="F133" s="27">
        <f t="shared" si="94"/>
        <v>100.25900456256518</v>
      </c>
      <c r="G133" s="27">
        <f t="shared" si="94"/>
        <v>102.51406279295612</v>
      </c>
      <c r="H133" s="27">
        <f t="shared" si="94"/>
        <v>100.27279041780423</v>
      </c>
      <c r="I133" s="27">
        <f t="shared" si="94"/>
        <v>97.91628389361779</v>
      </c>
      <c r="J133" s="27">
        <f t="shared" si="94"/>
        <v>88.76661337920385</v>
      </c>
      <c r="K133" s="27">
        <f t="shared" si="94"/>
        <v>81.2678943577063</v>
      </c>
      <c r="L133" s="27">
        <f t="shared" si="94"/>
        <v>73.95244527675912</v>
      </c>
      <c r="M133" s="27">
        <f t="shared" si="94"/>
        <v>67.09427472183403</v>
      </c>
      <c r="N133" s="27">
        <f t="shared" si="94"/>
        <v>60.82101452908295</v>
      </c>
      <c r="O133" s="27">
        <f t="shared" si="94"/>
        <v>55.181546557064024</v>
      </c>
      <c r="P133" s="27">
        <f t="shared" si="94"/>
        <v>50.20185069629518</v>
      </c>
      <c r="Q133" s="27">
        <f t="shared" si="94"/>
        <v>45.91774820654746</v>
      </c>
      <c r="R133" s="27">
        <f t="shared" si="94"/>
        <v>42.39412119084727</v>
      </c>
      <c r="S133" s="27">
        <f t="shared" si="94"/>
        <v>39.73883602788916</v>
      </c>
      <c r="T133" s="27">
        <f t="shared" si="94"/>
        <v>38.12161314653043</v>
      </c>
      <c r="U133" s="27">
        <f t="shared" si="94"/>
        <v>37.89191409140723</v>
      </c>
      <c r="V133" s="27">
        <f t="shared" si="94"/>
        <v>37.55831304652803</v>
      </c>
      <c r="W133" s="27">
        <f t="shared" si="94"/>
        <v>40.86233348420096</v>
      </c>
      <c r="X133" s="27">
        <f t="shared" si="94"/>
        <v>45.54175289561634</v>
      </c>
      <c r="Y133" s="27">
        <f t="shared" si="94"/>
        <v>52.28231050461589</v>
      </c>
      <c r="Z133" s="27">
        <f t="shared" si="94"/>
        <v>61.14083064456918</v>
      </c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  <c r="IS133" s="27"/>
      <c r="IT133" s="27"/>
      <c r="IU133" s="27"/>
      <c r="IV133" s="27"/>
    </row>
    <row r="134" spans="1:256" ht="12.75">
      <c r="A134" s="8" t="s">
        <v>117</v>
      </c>
      <c r="B134" s="19">
        <f aca="true" t="shared" si="95" ref="B134:Z134">B128+B129+B168</f>
        <v>15.559529856651192</v>
      </c>
      <c r="C134" s="19">
        <f t="shared" si="95"/>
        <v>13.694777688042144</v>
      </c>
      <c r="D134" s="19">
        <f t="shared" si="95"/>
        <v>10.913506138102981</v>
      </c>
      <c r="E134" s="19">
        <f t="shared" si="95"/>
        <v>7.449595193160033</v>
      </c>
      <c r="F134" s="19">
        <f t="shared" si="95"/>
        <v>3.546487415509226</v>
      </c>
      <c r="G134" s="19">
        <f t="shared" si="95"/>
        <v>-0.5302894063156705</v>
      </c>
      <c r="H134" s="19">
        <f t="shared" si="95"/>
        <v>-4.50259309790039</v>
      </c>
      <c r="I134" s="19">
        <f t="shared" si="95"/>
        <v>-8.10719924500918</v>
      </c>
      <c r="J134" s="19">
        <f t="shared" si="95"/>
        <v>-11.120901980251434</v>
      </c>
      <c r="K134" s="19">
        <f t="shared" si="95"/>
        <v>-13.373419550168244</v>
      </c>
      <c r="L134" s="19">
        <f t="shared" si="95"/>
        <v>-14.750034523479156</v>
      </c>
      <c r="M134" s="19">
        <f t="shared" si="95"/>
        <v>-15.189292293312588</v>
      </c>
      <c r="N134" s="19">
        <f t="shared" si="95"/>
        <v>-14.67950535918003</v>
      </c>
      <c r="O134" s="19">
        <f t="shared" si="95"/>
        <v>-13.255405560056245</v>
      </c>
      <c r="P134" s="19">
        <f t="shared" si="95"/>
        <v>-10.99481565245073</v>
      </c>
      <c r="Q134" s="19">
        <f t="shared" si="95"/>
        <v>-8.014955451037126</v>
      </c>
      <c r="R134" s="19">
        <f t="shared" si="95"/>
        <v>-4.468699067498099</v>
      </c>
      <c r="S134" s="19">
        <f t="shared" si="95"/>
        <v>-0.5422441001179419</v>
      </c>
      <c r="T134" s="19">
        <f t="shared" si="95"/>
        <v>3.5436978844057565</v>
      </c>
      <c r="U134" s="19">
        <f t="shared" si="95"/>
        <v>7.528672787469533</v>
      </c>
      <c r="V134" s="19">
        <f t="shared" si="95"/>
        <v>11.108862059218684</v>
      </c>
      <c r="W134" s="19">
        <f t="shared" si="95"/>
        <v>13.95114176118919</v>
      </c>
      <c r="X134" s="19">
        <f t="shared" si="95"/>
        <v>15.745023833669343</v>
      </c>
      <c r="Y134" s="19">
        <f t="shared" si="95"/>
        <v>16.289176159681602</v>
      </c>
      <c r="Z134" s="19">
        <f t="shared" si="95"/>
        <v>15.559529856651192</v>
      </c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6" ht="12.75">
      <c r="A135" s="8" t="s">
        <v>145</v>
      </c>
      <c r="B135" s="3">
        <f aca="true" t="shared" si="96" ref="B135:Z135">B131*B28+B132*B29+B133*B84-B134</f>
        <v>0</v>
      </c>
      <c r="C135" s="3">
        <f t="shared" si="96"/>
        <v>0</v>
      </c>
      <c r="D135" s="3">
        <f t="shared" si="96"/>
        <v>0</v>
      </c>
      <c r="E135" s="3">
        <f t="shared" si="96"/>
        <v>0</v>
      </c>
      <c r="F135" s="3">
        <f t="shared" si="96"/>
        <v>0</v>
      </c>
      <c r="G135" s="3">
        <f t="shared" si="96"/>
        <v>-1.1102230246251565E-15</v>
      </c>
      <c r="H135" s="3">
        <f t="shared" si="96"/>
        <v>0</v>
      </c>
      <c r="I135" s="3">
        <f t="shared" si="96"/>
        <v>0</v>
      </c>
      <c r="J135" s="3">
        <f t="shared" si="96"/>
        <v>0</v>
      </c>
      <c r="K135" s="3">
        <f t="shared" si="96"/>
        <v>0</v>
      </c>
      <c r="L135" s="3">
        <f t="shared" si="96"/>
        <v>0</v>
      </c>
      <c r="M135" s="3">
        <f t="shared" si="96"/>
        <v>0</v>
      </c>
      <c r="N135" s="3">
        <f t="shared" si="96"/>
        <v>0</v>
      </c>
      <c r="O135" s="3">
        <f t="shared" si="96"/>
        <v>0</v>
      </c>
      <c r="P135" s="3">
        <f t="shared" si="96"/>
        <v>0</v>
      </c>
      <c r="Q135" s="3">
        <f t="shared" si="96"/>
        <v>0</v>
      </c>
      <c r="R135" s="3">
        <f t="shared" si="96"/>
        <v>0</v>
      </c>
      <c r="S135" s="3">
        <f t="shared" si="96"/>
        <v>8.659739592076221E-15</v>
      </c>
      <c r="T135" s="3">
        <f t="shared" si="96"/>
        <v>0</v>
      </c>
      <c r="U135" s="3">
        <f t="shared" si="96"/>
        <v>0</v>
      </c>
      <c r="V135" s="3">
        <f t="shared" si="96"/>
        <v>0</v>
      </c>
      <c r="W135" s="3">
        <f t="shared" si="96"/>
        <v>0</v>
      </c>
      <c r="X135" s="3">
        <f t="shared" si="96"/>
        <v>0</v>
      </c>
      <c r="Y135" s="3">
        <f t="shared" si="96"/>
        <v>0</v>
      </c>
      <c r="Z135" s="3">
        <f t="shared" si="96"/>
        <v>0</v>
      </c>
    </row>
    <row r="136" ht="12.75">
      <c r="A136" s="8"/>
    </row>
    <row r="137" spans="1:3" ht="12.75">
      <c r="A137" s="40" t="s">
        <v>158</v>
      </c>
      <c r="B137" s="41"/>
      <c r="C137" s="18" t="s">
        <v>95</v>
      </c>
    </row>
    <row r="138" spans="1:26" ht="12.75">
      <c r="A138" s="8" t="s">
        <v>27</v>
      </c>
      <c r="B138" s="3">
        <f aca="true" t="shared" si="97" ref="B138:Z138">$B$10+($F$3-$B$10)*B77-($F$4-$B$11)*B78</f>
        <v>4.374149453370722</v>
      </c>
      <c r="C138" s="3">
        <f t="shared" si="97"/>
        <v>4.713323175592759</v>
      </c>
      <c r="D138" s="3">
        <f t="shared" si="97"/>
        <v>4.974664663515384</v>
      </c>
      <c r="E138" s="3">
        <f t="shared" si="97"/>
        <v>5.133831198425028</v>
      </c>
      <c r="F138" s="3">
        <f t="shared" si="97"/>
        <v>5.181284759438096</v>
      </c>
      <c r="G138" s="3">
        <f t="shared" si="97"/>
        <v>5.121177704440054</v>
      </c>
      <c r="H138" s="3">
        <f t="shared" si="97"/>
        <v>4.9676458532538526</v>
      </c>
      <c r="I138" s="3">
        <f t="shared" si="97"/>
        <v>4.7405986297418465</v>
      </c>
      <c r="J138" s="3">
        <f t="shared" si="97"/>
        <v>4.462216879379088</v>
      </c>
      <c r="K138" s="3">
        <f t="shared" si="97"/>
        <v>4.154498594424378</v>
      </c>
      <c r="L138" s="3">
        <f t="shared" si="97"/>
        <v>3.8377488340612116</v>
      </c>
      <c r="M138" s="3">
        <f t="shared" si="97"/>
        <v>3.529795285873243</v>
      </c>
      <c r="N138" s="3">
        <f t="shared" si="97"/>
        <v>3.245733397390671</v>
      </c>
      <c r="O138" s="3">
        <f t="shared" si="97"/>
        <v>2.998049647397438</v>
      </c>
      <c r="P138" s="3">
        <f t="shared" si="97"/>
        <v>2.796998415871876</v>
      </c>
      <c r="Q138" s="3">
        <f t="shared" si="97"/>
        <v>2.651112544936705</v>
      </c>
      <c r="R138" s="3">
        <f t="shared" si="97"/>
        <v>2.567713218107877</v>
      </c>
      <c r="S138" s="3">
        <f t="shared" si="97"/>
        <v>2.553251092524758</v>
      </c>
      <c r="T138" s="3">
        <f t="shared" si="97"/>
        <v>2.6132568398085354</v>
      </c>
      <c r="U138" s="3">
        <f t="shared" si="97"/>
        <v>2.7516209263515634</v>
      </c>
      <c r="V138" s="3">
        <f t="shared" si="97"/>
        <v>2.9689259934740635</v>
      </c>
      <c r="W138" s="3">
        <f t="shared" si="97"/>
        <v>3.2597727296436263</v>
      </c>
      <c r="X138" s="3">
        <f t="shared" si="97"/>
        <v>3.6096616926467036</v>
      </c>
      <c r="Y138" s="3">
        <f t="shared" si="97"/>
        <v>3.992968470330509</v>
      </c>
      <c r="Z138" s="3">
        <f t="shared" si="97"/>
        <v>4.374149453370722</v>
      </c>
    </row>
    <row r="139" spans="1:26" ht="12.75">
      <c r="A139" s="8" t="s">
        <v>28</v>
      </c>
      <c r="B139" s="3">
        <f aca="true" t="shared" si="98" ref="B139:Z139">$B$11+($F$3-$B$10)*B78+($F$4-$B$11)*B77</f>
        <v>9.465404811777022</v>
      </c>
      <c r="C139" s="3">
        <f t="shared" si="98"/>
        <v>9.57429354633699</v>
      </c>
      <c r="D139" s="3">
        <f t="shared" si="98"/>
        <v>9.6492286930617</v>
      </c>
      <c r="E139" s="3">
        <f t="shared" si="98"/>
        <v>9.691130555417065</v>
      </c>
      <c r="F139" s="3">
        <f t="shared" si="98"/>
        <v>9.703082839235867</v>
      </c>
      <c r="G139" s="3">
        <f t="shared" si="98"/>
        <v>9.687901735000976</v>
      </c>
      <c r="H139" s="3">
        <f t="shared" si="98"/>
        <v>9.647316292426012</v>
      </c>
      <c r="I139" s="3">
        <f t="shared" si="98"/>
        <v>9.582474826670081</v>
      </c>
      <c r="J139" s="3">
        <f t="shared" si="98"/>
        <v>9.494962721777611</v>
      </c>
      <c r="K139" s="3">
        <f t="shared" si="98"/>
        <v>9.387679162827009</v>
      </c>
      <c r="L139" s="3">
        <f t="shared" si="98"/>
        <v>9.265282843194386</v>
      </c>
      <c r="M139" s="3">
        <f t="shared" si="98"/>
        <v>9.134190362867436</v>
      </c>
      <c r="N139" s="3">
        <f t="shared" si="98"/>
        <v>9.00224207369481</v>
      </c>
      <c r="O139" s="3">
        <f t="shared" si="98"/>
        <v>8.878178470394767</v>
      </c>
      <c r="P139" s="3">
        <f t="shared" si="98"/>
        <v>8.771041886963186</v>
      </c>
      <c r="Q139" s="3">
        <f t="shared" si="98"/>
        <v>8.689563450318847</v>
      </c>
      <c r="R139" s="3">
        <f t="shared" si="98"/>
        <v>8.641532835370922</v>
      </c>
      <c r="S139" s="3">
        <f t="shared" si="98"/>
        <v>8.633094779098482</v>
      </c>
      <c r="T139" s="3">
        <f t="shared" si="98"/>
        <v>8.667894361047766</v>
      </c>
      <c r="U139" s="3">
        <f t="shared" si="98"/>
        <v>8.746040267355733</v>
      </c>
      <c r="V139" s="3">
        <f t="shared" si="98"/>
        <v>8.863021693873925</v>
      </c>
      <c r="W139" s="3">
        <f t="shared" si="98"/>
        <v>9.009019216410568</v>
      </c>
      <c r="X139" s="3">
        <f t="shared" si="98"/>
        <v>9.169362038488218</v>
      </c>
      <c r="Y139" s="3">
        <f t="shared" si="98"/>
        <v>9.32680671741246</v>
      </c>
      <c r="Z139" s="3">
        <f t="shared" si="98"/>
        <v>9.465404811777022</v>
      </c>
    </row>
    <row r="140" spans="1:26" ht="12.75">
      <c r="A140" s="8" t="s">
        <v>84</v>
      </c>
      <c r="B140" s="3">
        <f aca="true" t="shared" si="99" ref="B140:Z140">-B85*(B139-$B$11)</f>
        <v>1.4009963802398389</v>
      </c>
      <c r="C140" s="3">
        <f t="shared" si="99"/>
        <v>1.1667878316813685</v>
      </c>
      <c r="D140" s="3">
        <f t="shared" si="99"/>
        <v>0.814004092368416</v>
      </c>
      <c r="E140" s="3">
        <f t="shared" si="99"/>
        <v>0.3959579511613622</v>
      </c>
      <c r="F140" s="3">
        <f t="shared" si="99"/>
        <v>-0.03053928009483278</v>
      </c>
      <c r="G140" s="3">
        <f t="shared" si="99"/>
        <v>-0.41936692422894145</v>
      </c>
      <c r="H140" s="3">
        <f t="shared" si="99"/>
        <v>-0.7406300262784398</v>
      </c>
      <c r="I140" s="3">
        <f t="shared" si="99"/>
        <v>-0.9796074351201378</v>
      </c>
      <c r="J140" s="3">
        <f t="shared" si="99"/>
        <v>-1.1329741580639543</v>
      </c>
      <c r="K140" s="3">
        <f t="shared" si="99"/>
        <v>-1.2048456302714379</v>
      </c>
      <c r="L140" s="3">
        <f t="shared" si="99"/>
        <v>-1.2035799515486947</v>
      </c>
      <c r="M140" s="3">
        <f t="shared" si="99"/>
        <v>-1.1394107464586352</v>
      </c>
      <c r="N140" s="3">
        <f t="shared" si="99"/>
        <v>-1.0227381470665478</v>
      </c>
      <c r="O140" s="3">
        <f t="shared" si="99"/>
        <v>-0.8629318795236058</v>
      </c>
      <c r="P140" s="3">
        <f t="shared" si="99"/>
        <v>-0.6675881699266852</v>
      </c>
      <c r="Q140" s="3">
        <f t="shared" si="99"/>
        <v>-0.4422606937880587</v>
      </c>
      <c r="R140" s="3">
        <f t="shared" si="99"/>
        <v>-0.19075608224539883</v>
      </c>
      <c r="S140" s="3">
        <f t="shared" si="99"/>
        <v>0.08383755003250754</v>
      </c>
      <c r="T140" s="3">
        <f t="shared" si="99"/>
        <v>0.3771543055117353</v>
      </c>
      <c r="U140" s="3">
        <f t="shared" si="99"/>
        <v>0.6804149829645252</v>
      </c>
      <c r="V140" s="3">
        <f t="shared" si="99"/>
        <v>0.9764489549501016</v>
      </c>
      <c r="W140" s="3">
        <f t="shared" si="99"/>
        <v>1.2363768436744256</v>
      </c>
      <c r="X140" s="3">
        <f t="shared" si="99"/>
        <v>1.4202020874081374</v>
      </c>
      <c r="Y140" s="3">
        <f t="shared" si="99"/>
        <v>1.485048144622949</v>
      </c>
      <c r="Z140" s="3">
        <f t="shared" si="99"/>
        <v>1.4009963802398393</v>
      </c>
    </row>
    <row r="141" spans="1:26" ht="12.75">
      <c r="A141" s="8" t="s">
        <v>85</v>
      </c>
      <c r="B141" s="3">
        <f aca="true" t="shared" si="100" ref="B141:Z141">B85*(B138-$B$10)</f>
        <v>0.47746557372794035</v>
      </c>
      <c r="C141" s="3">
        <f t="shared" si="100"/>
        <v>0.3517898606736987</v>
      </c>
      <c r="D141" s="3">
        <f t="shared" si="100"/>
        <v>0.22147197208358518</v>
      </c>
      <c r="E141" s="3">
        <f t="shared" si="100"/>
        <v>0.1007621495042044</v>
      </c>
      <c r="F141" s="3">
        <f t="shared" si="100"/>
        <v>-0.007612613787287614</v>
      </c>
      <c r="G141" s="3">
        <f t="shared" si="100"/>
        <v>-0.10730250060685548</v>
      </c>
      <c r="H141" s="3">
        <f t="shared" si="100"/>
        <v>-0.20208734344175755</v>
      </c>
      <c r="I141" s="3">
        <f t="shared" si="100"/>
        <v>-0.29231392651317595</v>
      </c>
      <c r="J141" s="3">
        <f t="shared" si="100"/>
        <v>-0.3744119164490206</v>
      </c>
      <c r="K141" s="3">
        <f t="shared" si="100"/>
        <v>-0.4422069864764915</v>
      </c>
      <c r="L141" s="3">
        <f t="shared" si="100"/>
        <v>-0.4887244299660745</v>
      </c>
      <c r="M141" s="3">
        <f t="shared" si="100"/>
        <v>-0.5077226122214034</v>
      </c>
      <c r="N141" s="3">
        <f t="shared" si="100"/>
        <v>-0.49468504851688017</v>
      </c>
      <c r="O141" s="3">
        <f t="shared" si="100"/>
        <v>-0.44729554384246023</v>
      </c>
      <c r="P141" s="3">
        <f t="shared" si="100"/>
        <v>-0.36556968704811776</v>
      </c>
      <c r="Q141" s="3">
        <f t="shared" si="100"/>
        <v>-0.2518766807871117</v>
      </c>
      <c r="R141" s="3">
        <f t="shared" si="100"/>
        <v>-0.11108437930362194</v>
      </c>
      <c r="S141" s="3">
        <f t="shared" si="100"/>
        <v>0.04900989446523158</v>
      </c>
      <c r="T141" s="3">
        <f t="shared" si="100"/>
        <v>0.21698137690732794</v>
      </c>
      <c r="U141" s="3">
        <f t="shared" si="100"/>
        <v>0.3771889522524974</v>
      </c>
      <c r="V141" s="3">
        <f t="shared" si="100"/>
        <v>0.5102105726644468</v>
      </c>
      <c r="W141" s="3">
        <f t="shared" si="100"/>
        <v>0.5956426958861455</v>
      </c>
      <c r="X141" s="3">
        <f t="shared" si="100"/>
        <v>0.6180459196376278</v>
      </c>
      <c r="Y141" s="3">
        <f t="shared" si="100"/>
        <v>0.5743247011575515</v>
      </c>
      <c r="Z141" s="3">
        <f t="shared" si="100"/>
        <v>0.47746557372794046</v>
      </c>
    </row>
    <row r="142" spans="1:26" ht="12.75">
      <c r="A142" s="8" t="s">
        <v>86</v>
      </c>
      <c r="B142" s="3">
        <f aca="true" t="shared" si="101" ref="B142:Z142">-B85*B141-B94*(B139-$B$11)</f>
        <v>-0.6180072001374981</v>
      </c>
      <c r="C142" s="3">
        <f t="shared" si="101"/>
        <v>-1.1503082424590658</v>
      </c>
      <c r="D142" s="3">
        <f t="shared" si="101"/>
        <v>-1.5095407289710814</v>
      </c>
      <c r="E142" s="3">
        <f t="shared" si="101"/>
        <v>-1.6469863377953022</v>
      </c>
      <c r="F142" s="3">
        <f t="shared" si="101"/>
        <v>-1.581527282362576</v>
      </c>
      <c r="G142" s="3">
        <f t="shared" si="101"/>
        <v>-1.3699721343794131</v>
      </c>
      <c r="H142" s="3">
        <f t="shared" si="101"/>
        <v>-1.075188842993426</v>
      </c>
      <c r="I142" s="3">
        <f t="shared" si="101"/>
        <v>-0.7486062253142587</v>
      </c>
      <c r="J142" s="3">
        <f t="shared" si="101"/>
        <v>-0.42585248337172404</v>
      </c>
      <c r="K142" s="3">
        <f t="shared" si="101"/>
        <v>-0.1286748214352341</v>
      </c>
      <c r="L142" s="3">
        <f t="shared" si="101"/>
        <v>0.13172154828584826</v>
      </c>
      <c r="M142" s="3">
        <f t="shared" si="101"/>
        <v>0.35179843874289596</v>
      </c>
      <c r="N142" s="3">
        <f t="shared" si="101"/>
        <v>0.5335021054286243</v>
      </c>
      <c r="O142" s="3">
        <f t="shared" si="101"/>
        <v>0.6824740117240115</v>
      </c>
      <c r="P142" s="3">
        <f t="shared" si="101"/>
        <v>0.80632371271955</v>
      </c>
      <c r="Q142" s="3">
        <f t="shared" si="101"/>
        <v>0.912691224906442</v>
      </c>
      <c r="R142" s="3">
        <f t="shared" si="101"/>
        <v>1.006821481099846</v>
      </c>
      <c r="S142" s="3">
        <f t="shared" si="101"/>
        <v>1.088341019969229</v>
      </c>
      <c r="T142" s="3">
        <f t="shared" si="101"/>
        <v>1.1471105528590257</v>
      </c>
      <c r="U142" s="3">
        <f t="shared" si="101"/>
        <v>1.1589412041916676</v>
      </c>
      <c r="V142" s="3">
        <f t="shared" si="101"/>
        <v>1.0842101203877488</v>
      </c>
      <c r="W142" s="3">
        <f t="shared" si="101"/>
        <v>0.8755141989286651</v>
      </c>
      <c r="X142" s="3">
        <f t="shared" si="101"/>
        <v>0.5004269712514222</v>
      </c>
      <c r="Y142" s="3">
        <f t="shared" si="101"/>
        <v>-0.02521229127539673</v>
      </c>
      <c r="Z142" s="3">
        <f t="shared" si="101"/>
        <v>-0.618007200137498</v>
      </c>
    </row>
    <row r="143" spans="1:26" ht="12.75">
      <c r="A143" s="8" t="s">
        <v>87</v>
      </c>
      <c r="B143" s="3">
        <f aca="true" t="shared" si="102" ref="B143:Z143">B85*B140+B94*(B138-$B$10)</f>
        <v>-0.4420691115839655</v>
      </c>
      <c r="C143" s="3">
        <f t="shared" si="102"/>
        <v>-0.5019397067162569</v>
      </c>
      <c r="D143" s="3">
        <f t="shared" si="102"/>
        <v>-0.4844639155254972</v>
      </c>
      <c r="E143" s="3">
        <f t="shared" si="102"/>
        <v>-0.4363455851276186</v>
      </c>
      <c r="F143" s="3">
        <f t="shared" si="102"/>
        <v>-0.39433392501403397</v>
      </c>
      <c r="G143" s="3">
        <f t="shared" si="102"/>
        <v>-0.3698736850130635</v>
      </c>
      <c r="H143" s="3">
        <f t="shared" si="102"/>
        <v>-0.35446644807097394</v>
      </c>
      <c r="I143" s="3">
        <f t="shared" si="102"/>
        <v>-0.33244478933117055</v>
      </c>
      <c r="J143" s="3">
        <f t="shared" si="102"/>
        <v>-0.290685444597651</v>
      </c>
      <c r="K143" s="3">
        <f t="shared" si="102"/>
        <v>-0.22269074747123555</v>
      </c>
      <c r="L143" s="3">
        <f t="shared" si="102"/>
        <v>-0.12864007929055318</v>
      </c>
      <c r="M143" s="3">
        <f t="shared" si="102"/>
        <v>-0.013591509633658294</v>
      </c>
      <c r="N143" s="3">
        <f t="shared" si="102"/>
        <v>0.11467185362797802</v>
      </c>
      <c r="O143" s="3">
        <f t="shared" si="102"/>
        <v>0.2473465468146069</v>
      </c>
      <c r="P143" s="3">
        <f t="shared" si="102"/>
        <v>0.3754923247707633</v>
      </c>
      <c r="Q143" s="3">
        <f t="shared" si="102"/>
        <v>0.48998661371594965</v>
      </c>
      <c r="R143" s="3">
        <f t="shared" si="102"/>
        <v>0.5806709185071952</v>
      </c>
      <c r="S143" s="3">
        <f t="shared" si="102"/>
        <v>0.6351318141687116</v>
      </c>
      <c r="T143" s="3">
        <f t="shared" si="102"/>
        <v>0.6381041559779661</v>
      </c>
      <c r="U143" s="3">
        <f t="shared" si="102"/>
        <v>0.5732594493031873</v>
      </c>
      <c r="V143" s="3">
        <f t="shared" si="102"/>
        <v>0.42957019034376387</v>
      </c>
      <c r="W143" s="3">
        <f t="shared" si="102"/>
        <v>0.2127326665644683</v>
      </c>
      <c r="X143" s="3">
        <f t="shared" si="102"/>
        <v>-0.0438505768181128</v>
      </c>
      <c r="Y143" s="3">
        <f t="shared" si="102"/>
        <v>-0.2815710096007991</v>
      </c>
      <c r="Z143" s="3">
        <f t="shared" si="102"/>
        <v>-0.44206911158396556</v>
      </c>
    </row>
    <row r="144" ht="12.75">
      <c r="A144" s="8" t="s">
        <v>79</v>
      </c>
    </row>
    <row r="145" spans="1:26" ht="12.75">
      <c r="A145" s="8" t="s">
        <v>27</v>
      </c>
      <c r="B145" s="3">
        <f aca="true" t="shared" si="103" ref="B145:Z145">B138-B141/B84</f>
        <v>7.466639869241565</v>
      </c>
      <c r="C145" s="3">
        <f t="shared" si="103"/>
        <v>6.921901362742309</v>
      </c>
      <c r="D145" s="3">
        <f t="shared" si="103"/>
        <v>6.458800847579213</v>
      </c>
      <c r="E145" s="3">
        <f t="shared" si="103"/>
        <v>5.925347376220808</v>
      </c>
      <c r="F145" s="3">
        <f t="shared" si="103"/>
        <v>5.103323705009778</v>
      </c>
      <c r="G145" s="3">
        <f t="shared" si="103"/>
        <v>3.448645998219484</v>
      </c>
      <c r="H145" s="3">
        <f t="shared" si="103"/>
        <v>-1.8067474060240247</v>
      </c>
      <c r="I145" s="3">
        <f t="shared" si="103"/>
        <v>93.11196745152333</v>
      </c>
      <c r="J145" s="3">
        <f t="shared" si="103"/>
        <v>15.47471908281335</v>
      </c>
      <c r="K145" s="3">
        <f t="shared" si="103"/>
        <v>11.3512411002569</v>
      </c>
      <c r="L145" s="3">
        <f t="shared" si="103"/>
        <v>9.582618665708502</v>
      </c>
      <c r="M145" s="3">
        <f t="shared" si="103"/>
        <v>8.395150218166945</v>
      </c>
      <c r="N145" s="3">
        <f t="shared" si="103"/>
        <v>7.4121107273356905</v>
      </c>
      <c r="O145" s="3">
        <f t="shared" si="103"/>
        <v>6.5045094284722165</v>
      </c>
      <c r="P145" s="3">
        <f t="shared" si="103"/>
        <v>5.606315469147747</v>
      </c>
      <c r="Q145" s="3">
        <f t="shared" si="103"/>
        <v>4.655388054648277</v>
      </c>
      <c r="R145" s="3">
        <f t="shared" si="103"/>
        <v>3.5465936227790142</v>
      </c>
      <c r="S145" s="3">
        <f t="shared" si="103"/>
        <v>2.026536700412137</v>
      </c>
      <c r="T145" s="3">
        <f t="shared" si="103"/>
        <v>-0.7617057751522758</v>
      </c>
      <c r="U145" s="3">
        <f t="shared" si="103"/>
        <v>-10.763074067812525</v>
      </c>
      <c r="V145" s="3">
        <f t="shared" si="103"/>
        <v>38.895503973727564</v>
      </c>
      <c r="W145" s="3">
        <f t="shared" si="103"/>
        <v>13.422412642259573</v>
      </c>
      <c r="X145" s="3">
        <f t="shared" si="103"/>
        <v>9.765325571443118</v>
      </c>
      <c r="Y145" s="3">
        <f t="shared" si="103"/>
        <v>8.280704744800303</v>
      </c>
      <c r="Z145" s="3">
        <f t="shared" si="103"/>
        <v>7.4666398692415665</v>
      </c>
    </row>
    <row r="146" spans="1:26" ht="12.75">
      <c r="A146" s="8" t="s">
        <v>28</v>
      </c>
      <c r="B146" s="3">
        <f aca="true" t="shared" si="104" ref="B146:Z146">B139+B140/B85</f>
        <v>0</v>
      </c>
      <c r="C146" s="3">
        <f t="shared" si="104"/>
        <v>0</v>
      </c>
      <c r="D146" s="3">
        <f t="shared" si="104"/>
        <v>0</v>
      </c>
      <c r="E146" s="3">
        <f t="shared" si="104"/>
        <v>0</v>
      </c>
      <c r="F146" s="3">
        <f t="shared" si="104"/>
        <v>0</v>
      </c>
      <c r="G146" s="3">
        <f t="shared" si="104"/>
        <v>0</v>
      </c>
      <c r="H146" s="3">
        <f t="shared" si="104"/>
        <v>0</v>
      </c>
      <c r="I146" s="3">
        <f t="shared" si="104"/>
        <v>0</v>
      </c>
      <c r="J146" s="3">
        <f t="shared" si="104"/>
        <v>0</v>
      </c>
      <c r="K146" s="3">
        <f t="shared" si="104"/>
        <v>0</v>
      </c>
      <c r="L146" s="3">
        <f t="shared" si="104"/>
        <v>0</v>
      </c>
      <c r="M146" s="3">
        <f t="shared" si="104"/>
        <v>0</v>
      </c>
      <c r="N146" s="3">
        <f t="shared" si="104"/>
        <v>0</v>
      </c>
      <c r="O146" s="3">
        <f t="shared" si="104"/>
        <v>0</v>
      </c>
      <c r="P146" s="3">
        <f t="shared" si="104"/>
        <v>0</v>
      </c>
      <c r="Q146" s="3">
        <f t="shared" si="104"/>
        <v>0</v>
      </c>
      <c r="R146" s="3">
        <f t="shared" si="104"/>
        <v>0</v>
      </c>
      <c r="S146" s="3">
        <f t="shared" si="104"/>
        <v>0</v>
      </c>
      <c r="T146" s="3">
        <f t="shared" si="104"/>
        <v>0</v>
      </c>
      <c r="U146" s="3">
        <f t="shared" si="104"/>
        <v>0</v>
      </c>
      <c r="V146" s="3">
        <f t="shared" si="104"/>
        <v>0</v>
      </c>
      <c r="W146" s="3">
        <f t="shared" si="104"/>
        <v>0</v>
      </c>
      <c r="X146" s="3">
        <f t="shared" si="104"/>
        <v>0</v>
      </c>
      <c r="Y146" s="3">
        <f t="shared" si="104"/>
        <v>0</v>
      </c>
      <c r="Z146" s="3">
        <f t="shared" si="104"/>
        <v>0</v>
      </c>
    </row>
    <row r="147" ht="12.75">
      <c r="A147" s="8" t="s">
        <v>80</v>
      </c>
    </row>
    <row r="148" spans="1:26" ht="12.75">
      <c r="A148" s="8" t="s">
        <v>27</v>
      </c>
      <c r="B148" s="3">
        <f aca="true" t="shared" si="105" ref="B148:Z148">B138+(B142*B85^2-B143*B94)/(B85^4+B94^2)</f>
        <v>7.6</v>
      </c>
      <c r="C148" s="3">
        <f t="shared" si="105"/>
        <v>7.6</v>
      </c>
      <c r="D148" s="3">
        <f t="shared" si="105"/>
        <v>7.6</v>
      </c>
      <c r="E148" s="3">
        <f t="shared" si="105"/>
        <v>7.6</v>
      </c>
      <c r="F148" s="3">
        <f t="shared" si="105"/>
        <v>7.6</v>
      </c>
      <c r="G148" s="3">
        <f t="shared" si="105"/>
        <v>7.6</v>
      </c>
      <c r="H148" s="3">
        <f t="shared" si="105"/>
        <v>7.6</v>
      </c>
      <c r="I148" s="3">
        <f t="shared" si="105"/>
        <v>7.6</v>
      </c>
      <c r="J148" s="3">
        <f t="shared" si="105"/>
        <v>7.599999999999999</v>
      </c>
      <c r="K148" s="3">
        <f t="shared" si="105"/>
        <v>7.6</v>
      </c>
      <c r="L148" s="3">
        <f t="shared" si="105"/>
        <v>7.6</v>
      </c>
      <c r="M148" s="3">
        <f t="shared" si="105"/>
        <v>7.6</v>
      </c>
      <c r="N148" s="3">
        <f t="shared" si="105"/>
        <v>7.6</v>
      </c>
      <c r="O148" s="3">
        <f t="shared" si="105"/>
        <v>7.6000000000000005</v>
      </c>
      <c r="P148" s="3">
        <f t="shared" si="105"/>
        <v>7.599999999999999</v>
      </c>
      <c r="Q148" s="3">
        <f t="shared" si="105"/>
        <v>7.6</v>
      </c>
      <c r="R148" s="3">
        <f t="shared" si="105"/>
        <v>7.6</v>
      </c>
      <c r="S148" s="3">
        <f t="shared" si="105"/>
        <v>7.599999999999999</v>
      </c>
      <c r="T148" s="3">
        <f t="shared" si="105"/>
        <v>7.6</v>
      </c>
      <c r="U148" s="3">
        <f t="shared" si="105"/>
        <v>7.6</v>
      </c>
      <c r="V148" s="3">
        <f t="shared" si="105"/>
        <v>7.6</v>
      </c>
      <c r="W148" s="3">
        <f t="shared" si="105"/>
        <v>7.6</v>
      </c>
      <c r="X148" s="3">
        <f t="shared" si="105"/>
        <v>7.6</v>
      </c>
      <c r="Y148" s="3">
        <f t="shared" si="105"/>
        <v>7.599999999999999</v>
      </c>
      <c r="Z148" s="3">
        <f t="shared" si="105"/>
        <v>7.6000000000000005</v>
      </c>
    </row>
    <row r="149" spans="1:26" ht="12.75">
      <c r="A149" s="8" t="s">
        <v>28</v>
      </c>
      <c r="B149" s="3">
        <f aca="true" t="shared" si="106" ref="B149:Z149">B139+(B142*B94+B143*B85^2)/(B85^4+B94^2)</f>
        <v>0</v>
      </c>
      <c r="C149" s="3">
        <f t="shared" si="106"/>
        <v>0</v>
      </c>
      <c r="D149" s="3">
        <f t="shared" si="106"/>
        <v>0</v>
      </c>
      <c r="E149" s="3">
        <f t="shared" si="106"/>
        <v>0</v>
      </c>
      <c r="F149" s="3">
        <f t="shared" si="106"/>
        <v>0</v>
      </c>
      <c r="G149" s="3">
        <f t="shared" si="106"/>
        <v>0</v>
      </c>
      <c r="H149" s="3">
        <f t="shared" si="106"/>
        <v>0</v>
      </c>
      <c r="I149" s="3">
        <f t="shared" si="106"/>
        <v>0</v>
      </c>
      <c r="J149" s="3">
        <f t="shared" si="106"/>
        <v>0</v>
      </c>
      <c r="K149" s="3">
        <f t="shared" si="106"/>
        <v>0</v>
      </c>
      <c r="L149" s="3">
        <f t="shared" si="106"/>
        <v>0</v>
      </c>
      <c r="M149" s="3">
        <f t="shared" si="106"/>
        <v>0</v>
      </c>
      <c r="N149" s="3">
        <f t="shared" si="106"/>
        <v>0</v>
      </c>
      <c r="O149" s="3">
        <f t="shared" si="106"/>
        <v>0</v>
      </c>
      <c r="P149" s="3">
        <f t="shared" si="106"/>
        <v>0</v>
      </c>
      <c r="Q149" s="3">
        <f t="shared" si="106"/>
        <v>0</v>
      </c>
      <c r="R149" s="3">
        <f t="shared" si="106"/>
        <v>0</v>
      </c>
      <c r="S149" s="3">
        <f t="shared" si="106"/>
        <v>0</v>
      </c>
      <c r="T149" s="3">
        <f t="shared" si="106"/>
        <v>0</v>
      </c>
      <c r="U149" s="3">
        <f t="shared" si="106"/>
        <v>0</v>
      </c>
      <c r="V149" s="3">
        <f t="shared" si="106"/>
        <v>0</v>
      </c>
      <c r="W149" s="3">
        <f t="shared" si="106"/>
        <v>0</v>
      </c>
      <c r="X149" s="3">
        <f t="shared" si="106"/>
        <v>0</v>
      </c>
      <c r="Y149" s="3">
        <f t="shared" si="106"/>
        <v>0</v>
      </c>
      <c r="Z149" s="3">
        <f t="shared" si="106"/>
        <v>0</v>
      </c>
    </row>
    <row r="150" ht="12.75">
      <c r="A150" s="8"/>
    </row>
    <row r="151" spans="1:2" ht="12.75">
      <c r="A151" s="38" t="s">
        <v>111</v>
      </c>
      <c r="B151" s="38"/>
    </row>
    <row r="152" spans="1:26" ht="12.75">
      <c r="A152" s="8" t="s">
        <v>104</v>
      </c>
      <c r="B152" s="3">
        <f aca="true" t="shared" si="107" ref="B152:Z152">B138+($H$6-$F$3)*B77-($H$7-$F$4)*B78</f>
        <v>2.5</v>
      </c>
      <c r="C152" s="3">
        <f t="shared" si="107"/>
        <v>2.5032358370441807</v>
      </c>
      <c r="D152" s="3">
        <f t="shared" si="107"/>
        <v>2.5100574482921143</v>
      </c>
      <c r="E152" s="3">
        <f t="shared" si="107"/>
        <v>2.516015745860321</v>
      </c>
      <c r="F152" s="3">
        <f t="shared" si="107"/>
        <v>2.5180529352994485</v>
      </c>
      <c r="G152" s="3">
        <f t="shared" si="107"/>
        <v>2.5154926802628657</v>
      </c>
      <c r="H152" s="3">
        <f t="shared" si="107"/>
        <v>2.509825908968386</v>
      </c>
      <c r="I152" s="3">
        <f t="shared" si="107"/>
        <v>2.503773754874878</v>
      </c>
      <c r="J152" s="3">
        <f t="shared" si="107"/>
        <v>2.5002200533099668</v>
      </c>
      <c r="K152" s="3">
        <f t="shared" si="107"/>
        <v>2.5013843382966856</v>
      </c>
      <c r="L152" s="3">
        <f t="shared" si="107"/>
        <v>2.5083582478809774</v>
      </c>
      <c r="M152" s="3">
        <f t="shared" si="107"/>
        <v>2.5209772427690904</v>
      </c>
      <c r="N152" s="3">
        <f t="shared" si="107"/>
        <v>2.5379399841922057</v>
      </c>
      <c r="O152" s="3">
        <f t="shared" si="107"/>
        <v>2.5570813790263296</v>
      </c>
      <c r="P152" s="3">
        <f t="shared" si="107"/>
        <v>2.5757234042942128</v>
      </c>
      <c r="Q152" s="3">
        <f t="shared" si="107"/>
        <v>2.5910550431523656</v>
      </c>
      <c r="R152" s="3">
        <f t="shared" si="107"/>
        <v>2.6005204110922366</v>
      </c>
      <c r="S152" s="3">
        <f t="shared" si="107"/>
        <v>2.6022144761912367</v>
      </c>
      <c r="T152" s="3">
        <f t="shared" si="107"/>
        <v>2.595287525745766</v>
      </c>
      <c r="U152" s="3">
        <f t="shared" si="107"/>
        <v>2.580327146303416</v>
      </c>
      <c r="V152" s="3">
        <f t="shared" si="107"/>
        <v>2.559606719020954</v>
      </c>
      <c r="W152" s="3">
        <f t="shared" si="107"/>
        <v>2.5369781439980894</v>
      </c>
      <c r="X152" s="3">
        <f t="shared" si="107"/>
        <v>2.5171381129277908</v>
      </c>
      <c r="Y152" s="3">
        <f t="shared" si="107"/>
        <v>2.5041949635266203</v>
      </c>
      <c r="Z152" s="3">
        <f t="shared" si="107"/>
        <v>2.5</v>
      </c>
    </row>
    <row r="153" spans="1:26" ht="12.75">
      <c r="A153" s="8" t="s">
        <v>105</v>
      </c>
      <c r="B153" s="3">
        <f aca="true" t="shared" si="108" ref="B153:Z153">B139+($H$6-$F$3)*B78+($H$7-$F$4)*B77</f>
        <v>0</v>
      </c>
      <c r="C153" s="3">
        <f t="shared" si="108"/>
        <v>0.18164544367879287</v>
      </c>
      <c r="D153" s="3">
        <f t="shared" si="108"/>
        <v>0.3201325043062866</v>
      </c>
      <c r="E153" s="3">
        <f t="shared" si="108"/>
        <v>0.40386149068685206</v>
      </c>
      <c r="F153" s="3">
        <f t="shared" si="108"/>
        <v>0.42873538643486064</v>
      </c>
      <c r="G153" s="3">
        <f t="shared" si="108"/>
        <v>0.39722199780412737</v>
      </c>
      <c r="H153" s="3">
        <f t="shared" si="108"/>
        <v>0.3164296493543066</v>
      </c>
      <c r="I153" s="3">
        <f t="shared" si="108"/>
        <v>0.19615824861041453</v>
      </c>
      <c r="J153" s="3">
        <f t="shared" si="108"/>
        <v>0.047376105139685265</v>
      </c>
      <c r="K153" s="3">
        <f t="shared" si="108"/>
        <v>-0.11882059684104362</v>
      </c>
      <c r="L153" s="3">
        <f t="shared" si="108"/>
        <v>-0.29186344080465787</v>
      </c>
      <c r="M153" s="3">
        <f t="shared" si="108"/>
        <v>-0.4620907178579987</v>
      </c>
      <c r="N153" s="3">
        <f t="shared" si="108"/>
        <v>-0.6209254354268232</v>
      </c>
      <c r="O153" s="3">
        <f t="shared" si="108"/>
        <v>-0.7609019531036889</v>
      </c>
      <c r="P153" s="3">
        <f t="shared" si="108"/>
        <v>-0.8755824860303374</v>
      </c>
      <c r="Q153" s="3">
        <f t="shared" si="108"/>
        <v>-0.9594114963198273</v>
      </c>
      <c r="R153" s="3">
        <f t="shared" si="108"/>
        <v>-1.0075732430422413</v>
      </c>
      <c r="S153" s="3">
        <f t="shared" si="108"/>
        <v>-1.015942841899859</v>
      </c>
      <c r="T153" s="3">
        <f t="shared" si="108"/>
        <v>-0.9812507579839451</v>
      </c>
      <c r="U153" s="3">
        <f t="shared" si="108"/>
        <v>-0.901601043622728</v>
      </c>
      <c r="V153" s="3">
        <f t="shared" si="108"/>
        <v>-0.7774545472638827</v>
      </c>
      <c r="W153" s="3">
        <f t="shared" si="108"/>
        <v>-0.6130331847844541</v>
      </c>
      <c r="X153" s="3">
        <f t="shared" si="108"/>
        <v>-0.41774996941799714</v>
      </c>
      <c r="Y153" s="3">
        <f t="shared" si="108"/>
        <v>-0.20681158152421553</v>
      </c>
      <c r="Z153" s="3">
        <f t="shared" si="108"/>
        <v>0</v>
      </c>
    </row>
    <row r="154" spans="1:26" ht="12.75">
      <c r="A154" s="8" t="s">
        <v>106</v>
      </c>
      <c r="B154" s="3">
        <f aca="true" t="shared" si="109" ref="B154:Z154">B140-B85*(B153-B139)</f>
        <v>0</v>
      </c>
      <c r="C154" s="3">
        <f t="shared" si="109"/>
        <v>0.02213653595840137</v>
      </c>
      <c r="D154" s="3">
        <f t="shared" si="109"/>
        <v>0.027006217480661898</v>
      </c>
      <c r="E154" s="3">
        <f t="shared" si="109"/>
        <v>0.01650087856013388</v>
      </c>
      <c r="F154" s="3">
        <f t="shared" si="109"/>
        <v>-0.0013493927929746179</v>
      </c>
      <c r="G154" s="3">
        <f t="shared" si="109"/>
        <v>-0.01719482422631896</v>
      </c>
      <c r="H154" s="3">
        <f t="shared" si="109"/>
        <v>-0.024292486367483268</v>
      </c>
      <c r="I154" s="3">
        <f t="shared" si="109"/>
        <v>-0.020053074208354782</v>
      </c>
      <c r="J154" s="3">
        <f t="shared" si="109"/>
        <v>-0.0056530925297759715</v>
      </c>
      <c r="K154" s="3">
        <f t="shared" si="109"/>
        <v>0.015249826331630079</v>
      </c>
      <c r="L154" s="3">
        <f t="shared" si="109"/>
        <v>0.037913681847341785</v>
      </c>
      <c r="M154" s="3">
        <f t="shared" si="109"/>
        <v>0.05764179515095025</v>
      </c>
      <c r="N154" s="3">
        <f t="shared" si="109"/>
        <v>0.07054288521640206</v>
      </c>
      <c r="O154" s="3">
        <f t="shared" si="109"/>
        <v>0.07395735000309722</v>
      </c>
      <c r="P154" s="3">
        <f t="shared" si="109"/>
        <v>0.06664299600913581</v>
      </c>
      <c r="Q154" s="3">
        <f t="shared" si="109"/>
        <v>0.048829840119882784</v>
      </c>
      <c r="R154" s="3">
        <f t="shared" si="109"/>
        <v>0.022241508315668984</v>
      </c>
      <c r="S154" s="3">
        <f t="shared" si="109"/>
        <v>-0.009866005299068628</v>
      </c>
      <c r="T154" s="3">
        <f t="shared" si="109"/>
        <v>-0.042695830468746476</v>
      </c>
      <c r="U154" s="3">
        <f t="shared" si="109"/>
        <v>-0.07014178302232199</v>
      </c>
      <c r="V154" s="3">
        <f t="shared" si="109"/>
        <v>-0.08565303193624585</v>
      </c>
      <c r="W154" s="3">
        <f t="shared" si="109"/>
        <v>-0.08413124845941544</v>
      </c>
      <c r="X154" s="3">
        <f t="shared" si="109"/>
        <v>-0.06470345222402663</v>
      </c>
      <c r="Y154" s="3">
        <f t="shared" si="109"/>
        <v>-0.032929293458574094</v>
      </c>
      <c r="Z154" s="3">
        <f t="shared" si="109"/>
        <v>0</v>
      </c>
    </row>
    <row r="155" spans="1:26" s="26" customFormat="1" ht="12.75">
      <c r="A155" s="12" t="s">
        <v>107</v>
      </c>
      <c r="B155" s="26">
        <f aca="true" t="shared" si="110" ref="B155:Z155">B141+B85*(B152-B138)</f>
        <v>0.7548627535013761</v>
      </c>
      <c r="C155" s="26">
        <f t="shared" si="110"/>
        <v>0.621125974204302</v>
      </c>
      <c r="D155" s="26">
        <f t="shared" si="110"/>
        <v>0.4293850004808735</v>
      </c>
      <c r="E155" s="26">
        <f t="shared" si="110"/>
        <v>0.20772024249333215</v>
      </c>
      <c r="F155" s="26">
        <f t="shared" si="110"/>
        <v>-0.01599481395834662</v>
      </c>
      <c r="G155" s="26">
        <f t="shared" si="110"/>
        <v>-0.22009659616943733</v>
      </c>
      <c r="H155" s="26">
        <f t="shared" si="110"/>
        <v>-0.3907755956713378</v>
      </c>
      <c r="I155" s="26">
        <f t="shared" si="110"/>
        <v>-0.5209824404530974</v>
      </c>
      <c r="J155" s="26">
        <f t="shared" si="110"/>
        <v>-0.6085246525676573</v>
      </c>
      <c r="K155" s="26">
        <f t="shared" si="110"/>
        <v>-0.6543731090386811</v>
      </c>
      <c r="L155" s="26">
        <f t="shared" si="110"/>
        <v>-0.6614150951495301</v>
      </c>
      <c r="M155" s="26">
        <f t="shared" si="110"/>
        <v>-0.6335638826428138</v>
      </c>
      <c r="N155" s="26">
        <f t="shared" si="110"/>
        <v>-0.5750969412425553</v>
      </c>
      <c r="O155" s="26">
        <f t="shared" si="110"/>
        <v>-0.4901563151036658</v>
      </c>
      <c r="P155" s="26">
        <f t="shared" si="110"/>
        <v>-0.3824115379859411</v>
      </c>
      <c r="Q155" s="26">
        <f t="shared" si="110"/>
        <v>-0.2549333443995219</v>
      </c>
      <c r="R155" s="26">
        <f t="shared" si="110"/>
        <v>-0.1103601823674546</v>
      </c>
      <c r="S155" s="26">
        <f t="shared" si="110"/>
        <v>0.0485344021611464</v>
      </c>
      <c r="T155" s="26">
        <f t="shared" si="110"/>
        <v>0.21776325124538193</v>
      </c>
      <c r="U155" s="26">
        <f t="shared" si="110"/>
        <v>0.39051508051975575</v>
      </c>
      <c r="V155" s="26">
        <f t="shared" si="110"/>
        <v>0.5553057322596139</v>
      </c>
      <c r="W155" s="26">
        <f t="shared" si="110"/>
        <v>0.6948373437116883</v>
      </c>
      <c r="X155" s="26">
        <f t="shared" si="110"/>
        <v>0.7872620834172432</v>
      </c>
      <c r="Y155" s="26">
        <f t="shared" si="110"/>
        <v>0.8113726427553257</v>
      </c>
      <c r="Z155" s="26">
        <f t="shared" si="110"/>
        <v>0.7548627535013763</v>
      </c>
    </row>
    <row r="156" spans="1:26" ht="12.75">
      <c r="A156" s="8" t="s">
        <v>108</v>
      </c>
      <c r="B156" s="3">
        <f aca="true" t="shared" si="111" ref="B156:Z156">B142-B94*(B153-B139)-B85*(B155-B141)</f>
        <v>0.1117289758085646</v>
      </c>
      <c r="C156" s="3">
        <f t="shared" si="111"/>
        <v>0.05305734216470839</v>
      </c>
      <c r="D156" s="3">
        <f t="shared" si="111"/>
        <v>-0.014479191136720249</v>
      </c>
      <c r="E156" s="3">
        <f t="shared" si="111"/>
        <v>-0.06031995302716879</v>
      </c>
      <c r="F156" s="3">
        <f t="shared" si="111"/>
        <v>-0.06983126126922723</v>
      </c>
      <c r="G156" s="3">
        <f t="shared" si="111"/>
        <v>-0.04683438123480012</v>
      </c>
      <c r="H156" s="3">
        <f t="shared" si="111"/>
        <v>-0.005774734779492422</v>
      </c>
      <c r="I156" s="3">
        <f t="shared" si="111"/>
        <v>0.03732346807971414</v>
      </c>
      <c r="J156" s="3">
        <f t="shared" si="111"/>
        <v>0.07026366592674183</v>
      </c>
      <c r="K156" s="3">
        <f t="shared" si="111"/>
        <v>0.08633138880899714</v>
      </c>
      <c r="L156" s="3">
        <f t="shared" si="111"/>
        <v>0.08376976715629184</v>
      </c>
      <c r="M156" s="3">
        <f t="shared" si="111"/>
        <v>0.06443841465699976</v>
      </c>
      <c r="N156" s="3">
        <f t="shared" si="111"/>
        <v>0.03241470970927631</v>
      </c>
      <c r="O156" s="3">
        <f t="shared" si="111"/>
        <v>-0.007123477561376879</v>
      </c>
      <c r="P156" s="3">
        <f t="shared" si="111"/>
        <v>-0.04860846047993484</v>
      </c>
      <c r="Q156" s="3">
        <f t="shared" si="111"/>
        <v>-0.08637952438465943</v>
      </c>
      <c r="R156" s="3">
        <f t="shared" si="111"/>
        <v>-0.11466991372758062</v>
      </c>
      <c r="S156" s="3">
        <f t="shared" si="111"/>
        <v>-0.12754866704367795</v>
      </c>
      <c r="T156" s="3">
        <f t="shared" si="111"/>
        <v>-0.11931485416563707</v>
      </c>
      <c r="U156" s="3">
        <f t="shared" si="111"/>
        <v>-0.08606564327168564</v>
      </c>
      <c r="V156" s="3">
        <f t="shared" si="111"/>
        <v>-0.02899635279526299</v>
      </c>
      <c r="W156" s="3">
        <f t="shared" si="111"/>
        <v>0.041344534725186836</v>
      </c>
      <c r="X156" s="3">
        <f t="shared" si="111"/>
        <v>0.10349767005821262</v>
      </c>
      <c r="Y156" s="3">
        <f t="shared" si="111"/>
        <v>0.13177647778252996</v>
      </c>
      <c r="Z156" s="3">
        <f t="shared" si="111"/>
        <v>0.11172897580856461</v>
      </c>
    </row>
    <row r="157" spans="1:26" s="26" customFormat="1" ht="12.75">
      <c r="A157" s="12" t="s">
        <v>109</v>
      </c>
      <c r="B157" s="26">
        <f aca="true" t="shared" si="112" ref="B157:Z157">B143+B94*(B152-B138)+B85*(B154-B140)</f>
        <v>-0.37106259776841405</v>
      </c>
      <c r="C157" s="26">
        <f t="shared" si="112"/>
        <v>-0.6378730981747036</v>
      </c>
      <c r="D157" s="26">
        <f t="shared" si="112"/>
        <v>-0.8084123355811138</v>
      </c>
      <c r="E157" s="26">
        <f t="shared" si="112"/>
        <v>-0.8668458806010951</v>
      </c>
      <c r="F157" s="26">
        <f t="shared" si="112"/>
        <v>-0.8283347710556099</v>
      </c>
      <c r="G157" s="26">
        <f t="shared" si="112"/>
        <v>-0.722185401148664</v>
      </c>
      <c r="H157" s="26">
        <f t="shared" si="112"/>
        <v>-0.5773482250988321</v>
      </c>
      <c r="I157" s="26">
        <f t="shared" si="112"/>
        <v>-0.41607218680279523</v>
      </c>
      <c r="J157" s="26">
        <f t="shared" si="112"/>
        <v>-0.2533972712238872</v>
      </c>
      <c r="K157" s="26">
        <f t="shared" si="112"/>
        <v>-0.09875264351477603</v>
      </c>
      <c r="L157" s="26">
        <f t="shared" si="112"/>
        <v>0.042423029449947844</v>
      </c>
      <c r="M157" s="26">
        <f t="shared" si="112"/>
        <v>0.16758959325964126</v>
      </c>
      <c r="N157" s="26">
        <f t="shared" si="112"/>
        <v>0.27640611053382996</v>
      </c>
      <c r="O157" s="26">
        <f t="shared" si="112"/>
        <v>0.37014758517443336</v>
      </c>
      <c r="P157" s="26">
        <f t="shared" si="112"/>
        <v>0.45101658603846273</v>
      </c>
      <c r="Q157" s="26">
        <f t="shared" si="112"/>
        <v>0.5212003903772289</v>
      </c>
      <c r="R157" s="26">
        <f t="shared" si="112"/>
        <v>0.5815596550757366</v>
      </c>
      <c r="S157" s="26">
        <f t="shared" si="112"/>
        <v>0.6298718604966305</v>
      </c>
      <c r="T157" s="26">
        <f t="shared" si="112"/>
        <v>0.6587310137390378</v>
      </c>
      <c r="U157" s="26">
        <f t="shared" si="112"/>
        <v>0.653773944889495</v>
      </c>
      <c r="V157" s="26">
        <f t="shared" si="112"/>
        <v>0.5940590631154122</v>
      </c>
      <c r="W157" s="26">
        <f t="shared" si="112"/>
        <v>0.4576403451021106</v>
      </c>
      <c r="X157" s="26">
        <f t="shared" si="112"/>
        <v>0.23435971117580223</v>
      </c>
      <c r="Y157" s="26">
        <f t="shared" si="112"/>
        <v>-0.058494477457877725</v>
      </c>
      <c r="Z157" s="26">
        <f t="shared" si="112"/>
        <v>-0.37106259776841394</v>
      </c>
    </row>
    <row r="158" spans="1:26" ht="12.75">
      <c r="A158" s="8" t="s">
        <v>110</v>
      </c>
      <c r="B158" s="3">
        <f aca="true" t="shared" si="113" ref="B158:Z158">0.5*$L$5*(B154^2+B155^2)+0.5*$J$5*B85^2</f>
        <v>0.2958627094695421</v>
      </c>
      <c r="C158" s="3">
        <f t="shared" si="113"/>
        <v>0.2005695007789031</v>
      </c>
      <c r="D158" s="3">
        <f t="shared" si="113"/>
        <v>0.09610866969434188</v>
      </c>
      <c r="E158" s="3">
        <f t="shared" si="113"/>
        <v>0.022544667616675555</v>
      </c>
      <c r="F158" s="3">
        <f t="shared" si="113"/>
        <v>0.00013378046482285112</v>
      </c>
      <c r="G158" s="3">
        <f t="shared" si="113"/>
        <v>0.025305999031641824</v>
      </c>
      <c r="H158" s="3">
        <f t="shared" si="113"/>
        <v>0.07959470618412436</v>
      </c>
      <c r="I158" s="3">
        <f t="shared" si="113"/>
        <v>0.14113780531571649</v>
      </c>
      <c r="J158" s="3">
        <f t="shared" si="113"/>
        <v>0.19228617874896792</v>
      </c>
      <c r="K158" s="3">
        <f t="shared" si="113"/>
        <v>0.2224543615764112</v>
      </c>
      <c r="L158" s="3">
        <f t="shared" si="113"/>
        <v>0.22789096902251982</v>
      </c>
      <c r="M158" s="3">
        <f t="shared" si="113"/>
        <v>0.2101430804693624</v>
      </c>
      <c r="N158" s="3">
        <f t="shared" si="113"/>
        <v>0.1743099283140551</v>
      </c>
      <c r="O158" s="3">
        <f t="shared" si="113"/>
        <v>0.1275850750889397</v>
      </c>
      <c r="P158" s="3">
        <f t="shared" si="113"/>
        <v>0.07823651245449587</v>
      </c>
      <c r="Q158" s="3">
        <f t="shared" si="113"/>
        <v>0.03498286360440042</v>
      </c>
      <c r="R158" s="3">
        <f t="shared" si="113"/>
        <v>0.006580665383361326</v>
      </c>
      <c r="S158" s="3">
        <f t="shared" si="113"/>
        <v>0.001273616649605303</v>
      </c>
      <c r="T158" s="3">
        <f t="shared" si="113"/>
        <v>0.025568515206640833</v>
      </c>
      <c r="U158" s="3">
        <f t="shared" si="113"/>
        <v>0.08173712919317067</v>
      </c>
      <c r="V158" s="3">
        <f t="shared" si="113"/>
        <v>0.1639192860305374</v>
      </c>
      <c r="W158" s="3">
        <f t="shared" si="113"/>
        <v>0.25435559019551157</v>
      </c>
      <c r="X158" s="3">
        <f t="shared" si="113"/>
        <v>0.3239788359973784</v>
      </c>
      <c r="Y158" s="3">
        <f t="shared" si="113"/>
        <v>0.34238103616076004</v>
      </c>
      <c r="Z158" s="3">
        <f t="shared" si="113"/>
        <v>0.29586270946954224</v>
      </c>
    </row>
    <row r="159" spans="1:26" ht="12.75">
      <c r="A159" s="8" t="s">
        <v>146</v>
      </c>
      <c r="B159" s="3">
        <f aca="true" t="shared" si="114" ref="B159:Z159">$L$5*B156</f>
        <v>0.1117289758085646</v>
      </c>
      <c r="C159" s="3">
        <f t="shared" si="114"/>
        <v>0.05305734216470839</v>
      </c>
      <c r="D159" s="3">
        <f t="shared" si="114"/>
        <v>-0.014479191136720249</v>
      </c>
      <c r="E159" s="3">
        <f t="shared" si="114"/>
        <v>-0.06031995302716879</v>
      </c>
      <c r="F159" s="3">
        <f t="shared" si="114"/>
        <v>-0.06983126126922723</v>
      </c>
      <c r="G159" s="3">
        <f t="shared" si="114"/>
        <v>-0.04683438123480012</v>
      </c>
      <c r="H159" s="3">
        <f t="shared" si="114"/>
        <v>-0.005774734779492422</v>
      </c>
      <c r="I159" s="3">
        <f t="shared" si="114"/>
        <v>0.03732346807971414</v>
      </c>
      <c r="J159" s="3">
        <f t="shared" si="114"/>
        <v>0.07026366592674183</v>
      </c>
      <c r="K159" s="3">
        <f t="shared" si="114"/>
        <v>0.08633138880899714</v>
      </c>
      <c r="L159" s="3">
        <f t="shared" si="114"/>
        <v>0.08376976715629184</v>
      </c>
      <c r="M159" s="3">
        <f t="shared" si="114"/>
        <v>0.06443841465699976</v>
      </c>
      <c r="N159" s="3">
        <f t="shared" si="114"/>
        <v>0.03241470970927631</v>
      </c>
      <c r="O159" s="3">
        <f t="shared" si="114"/>
        <v>-0.007123477561376879</v>
      </c>
      <c r="P159" s="3">
        <f t="shared" si="114"/>
        <v>-0.04860846047993484</v>
      </c>
      <c r="Q159" s="3">
        <f t="shared" si="114"/>
        <v>-0.08637952438465943</v>
      </c>
      <c r="R159" s="3">
        <f t="shared" si="114"/>
        <v>-0.11466991372758062</v>
      </c>
      <c r="S159" s="3">
        <f t="shared" si="114"/>
        <v>-0.12754866704367795</v>
      </c>
      <c r="T159" s="3">
        <f t="shared" si="114"/>
        <v>-0.11931485416563707</v>
      </c>
      <c r="U159" s="3">
        <f t="shared" si="114"/>
        <v>-0.08606564327168564</v>
      </c>
      <c r="V159" s="3">
        <f t="shared" si="114"/>
        <v>-0.02899635279526299</v>
      </c>
      <c r="W159" s="3">
        <f t="shared" si="114"/>
        <v>0.041344534725186836</v>
      </c>
      <c r="X159" s="3">
        <f t="shared" si="114"/>
        <v>0.10349767005821262</v>
      </c>
      <c r="Y159" s="3">
        <f t="shared" si="114"/>
        <v>0.13177647778252996</v>
      </c>
      <c r="Z159" s="3">
        <f t="shared" si="114"/>
        <v>0.11172897580856461</v>
      </c>
    </row>
    <row r="160" spans="1:26" ht="12.75">
      <c r="A160" s="8" t="s">
        <v>147</v>
      </c>
      <c r="B160" s="3">
        <f aca="true" t="shared" si="115" ref="B160:Z160">$L$5*B157</f>
        <v>-0.37106259776841405</v>
      </c>
      <c r="C160" s="3">
        <f t="shared" si="115"/>
        <v>-0.6378730981747036</v>
      </c>
      <c r="D160" s="3">
        <f t="shared" si="115"/>
        <v>-0.8084123355811138</v>
      </c>
      <c r="E160" s="3">
        <f t="shared" si="115"/>
        <v>-0.8668458806010951</v>
      </c>
      <c r="F160" s="3">
        <f t="shared" si="115"/>
        <v>-0.8283347710556099</v>
      </c>
      <c r="G160" s="3">
        <f t="shared" si="115"/>
        <v>-0.722185401148664</v>
      </c>
      <c r="H160" s="3">
        <f t="shared" si="115"/>
        <v>-0.5773482250988321</v>
      </c>
      <c r="I160" s="3">
        <f t="shared" si="115"/>
        <v>-0.41607218680279523</v>
      </c>
      <c r="J160" s="3">
        <f t="shared" si="115"/>
        <v>-0.2533972712238872</v>
      </c>
      <c r="K160" s="3">
        <f t="shared" si="115"/>
        <v>-0.09875264351477603</v>
      </c>
      <c r="L160" s="3">
        <f t="shared" si="115"/>
        <v>0.042423029449947844</v>
      </c>
      <c r="M160" s="3">
        <f t="shared" si="115"/>
        <v>0.16758959325964126</v>
      </c>
      <c r="N160" s="3">
        <f t="shared" si="115"/>
        <v>0.27640611053382996</v>
      </c>
      <c r="O160" s="3">
        <f t="shared" si="115"/>
        <v>0.37014758517443336</v>
      </c>
      <c r="P160" s="3">
        <f t="shared" si="115"/>
        <v>0.45101658603846273</v>
      </c>
      <c r="Q160" s="3">
        <f t="shared" si="115"/>
        <v>0.5212003903772289</v>
      </c>
      <c r="R160" s="3">
        <f t="shared" si="115"/>
        <v>0.5815596550757366</v>
      </c>
      <c r="S160" s="3">
        <f t="shared" si="115"/>
        <v>0.6298718604966305</v>
      </c>
      <c r="T160" s="3">
        <f t="shared" si="115"/>
        <v>0.6587310137390378</v>
      </c>
      <c r="U160" s="3">
        <f t="shared" si="115"/>
        <v>0.653773944889495</v>
      </c>
      <c r="V160" s="3">
        <f t="shared" si="115"/>
        <v>0.5940590631154122</v>
      </c>
      <c r="W160" s="3">
        <f t="shared" si="115"/>
        <v>0.4576403451021106</v>
      </c>
      <c r="X160" s="3">
        <f t="shared" si="115"/>
        <v>0.23435971117580223</v>
      </c>
      <c r="Y160" s="3">
        <f t="shared" si="115"/>
        <v>-0.058494477457877725</v>
      </c>
      <c r="Z160" s="3">
        <f t="shared" si="115"/>
        <v>-0.37106259776841394</v>
      </c>
    </row>
    <row r="161" spans="1:26" ht="12.75">
      <c r="A161" s="8" t="s">
        <v>148</v>
      </c>
      <c r="B161" s="3">
        <f aca="true" t="shared" si="116" ref="B161:Z161">$J$5*B94</f>
        <v>0.07275737211145374</v>
      </c>
      <c r="C161" s="3">
        <f t="shared" si="116"/>
        <v>0.12462326500701663</v>
      </c>
      <c r="D161" s="3">
        <f t="shared" si="116"/>
        <v>0.1583778395201382</v>
      </c>
      <c r="E161" s="3">
        <f t="shared" si="116"/>
        <v>0.17037261491309214</v>
      </c>
      <c r="F161" s="3">
        <f t="shared" si="116"/>
        <v>0.16299471707577687</v>
      </c>
      <c r="G161" s="3">
        <f t="shared" si="116"/>
        <v>0.14189006554508607</v>
      </c>
      <c r="H161" s="3">
        <f t="shared" si="116"/>
        <v>0.11305768066907156</v>
      </c>
      <c r="I161" s="3">
        <f t="shared" si="116"/>
        <v>0.08124093395311126</v>
      </c>
      <c r="J161" s="3">
        <f t="shared" si="116"/>
        <v>0.049555613360596336</v>
      </c>
      <c r="K161" s="3">
        <f t="shared" si="116"/>
        <v>0.01975239223388861</v>
      </c>
      <c r="L161" s="3">
        <f t="shared" si="116"/>
        <v>-0.007364611131145289</v>
      </c>
      <c r="M161" s="3">
        <f t="shared" si="116"/>
        <v>-0.03158073682254155</v>
      </c>
      <c r="N161" s="3">
        <f t="shared" si="116"/>
        <v>-0.053020269224059356</v>
      </c>
      <c r="O161" s="3">
        <f t="shared" si="116"/>
        <v>-0.0719740260582057</v>
      </c>
      <c r="P161" s="3">
        <f t="shared" si="116"/>
        <v>-0.08875789289416772</v>
      </c>
      <c r="Q161" s="3">
        <f t="shared" si="116"/>
        <v>-0.10355776915141561</v>
      </c>
      <c r="R161" s="3">
        <f t="shared" si="116"/>
        <v>-0.1162258347611402</v>
      </c>
      <c r="S161" s="3">
        <f t="shared" si="116"/>
        <v>-0.1260110196663378</v>
      </c>
      <c r="T161" s="3">
        <f t="shared" si="116"/>
        <v>-0.13125094627938003</v>
      </c>
      <c r="U161" s="3">
        <f t="shared" si="116"/>
        <v>-0.12915525557130866</v>
      </c>
      <c r="V161" s="3">
        <f t="shared" si="116"/>
        <v>-0.11598749160193679</v>
      </c>
      <c r="W161" s="3">
        <f t="shared" si="116"/>
        <v>-0.08810832363107382</v>
      </c>
      <c r="X161" s="3">
        <f t="shared" si="116"/>
        <v>-0.044136174367515726</v>
      </c>
      <c r="Y161" s="3">
        <f t="shared" si="116"/>
        <v>0.01250785677099683</v>
      </c>
      <c r="Z161" s="3">
        <f t="shared" si="116"/>
        <v>0.07275737211145372</v>
      </c>
    </row>
    <row r="162" spans="1:26" ht="12.75">
      <c r="A162" s="8" t="s">
        <v>149</v>
      </c>
      <c r="B162" s="3">
        <f aca="true" t="shared" si="117" ref="B162:Z162">B159*B154+B160*B155+B161*B85</f>
        <v>-0.2908703205962849</v>
      </c>
      <c r="C162" s="3">
        <f t="shared" si="117"/>
        <v>-0.41021247335455613</v>
      </c>
      <c r="D162" s="3">
        <f t="shared" si="117"/>
        <v>-0.3608718343845633</v>
      </c>
      <c r="E162" s="3">
        <f t="shared" si="117"/>
        <v>-0.18801781329234293</v>
      </c>
      <c r="F162" s="3">
        <f t="shared" si="117"/>
        <v>0.01385629652422562</v>
      </c>
      <c r="G162" s="3">
        <f t="shared" si="117"/>
        <v>0.16589795126500764</v>
      </c>
      <c r="H162" s="3">
        <f t="shared" si="117"/>
        <v>0.23443338247739645</v>
      </c>
      <c r="I162" s="3">
        <f t="shared" si="117"/>
        <v>0.22432303767019468</v>
      </c>
      <c r="J162" s="3">
        <f t="shared" si="117"/>
        <v>0.1597144389601749</v>
      </c>
      <c r="K162" s="3">
        <f t="shared" si="117"/>
        <v>0.06847270005573469</v>
      </c>
      <c r="L162" s="3">
        <f t="shared" si="117"/>
        <v>-0.02583989041259636</v>
      </c>
      <c r="M162" s="3">
        <f t="shared" si="117"/>
        <v>-0.10640378954775542</v>
      </c>
      <c r="N162" s="3">
        <f t="shared" si="117"/>
        <v>-0.16269727562478928</v>
      </c>
      <c r="O162" s="3">
        <f t="shared" si="117"/>
        <v>-0.18895266581524658</v>
      </c>
      <c r="P162" s="3">
        <f t="shared" si="117"/>
        <v>-0.1824689675958951</v>
      </c>
      <c r="Q162" s="3">
        <f t="shared" si="117"/>
        <v>-0.14235989354888065</v>
      </c>
      <c r="R162" s="3">
        <f t="shared" si="117"/>
        <v>-0.06929706932961283</v>
      </c>
      <c r="S162" s="3">
        <f t="shared" si="117"/>
        <v>0.033052565891255235</v>
      </c>
      <c r="T162" s="3">
        <f t="shared" si="117"/>
        <v>0.1542525980566696</v>
      </c>
      <c r="U162" s="3">
        <f t="shared" si="117"/>
        <v>0.2713932633138634</v>
      </c>
      <c r="V162" s="3">
        <f t="shared" si="117"/>
        <v>0.3451464994989096</v>
      </c>
      <c r="W162" s="3">
        <f t="shared" si="117"/>
        <v>0.32659901585143797</v>
      </c>
      <c r="X162" s="3">
        <f t="shared" si="117"/>
        <v>0.18464191553031992</v>
      </c>
      <c r="Y162" s="3">
        <f t="shared" si="117"/>
        <v>-0.05379167159266658</v>
      </c>
      <c r="Z162" s="3">
        <f t="shared" si="117"/>
        <v>-0.2908703205962849</v>
      </c>
    </row>
    <row r="163" spans="1:26" ht="12.75">
      <c r="A163" s="8" t="s">
        <v>150</v>
      </c>
      <c r="B163" s="3">
        <f aca="true" t="shared" si="118" ref="B163:Z163">$J$10*$L$5*B155</f>
        <v>7.548627535013761</v>
      </c>
      <c r="C163" s="3">
        <f t="shared" si="118"/>
        <v>6.211259742043021</v>
      </c>
      <c r="D163" s="3">
        <f t="shared" si="118"/>
        <v>4.293850004808736</v>
      </c>
      <c r="E163" s="3">
        <f t="shared" si="118"/>
        <v>2.0772024249333216</v>
      </c>
      <c r="F163" s="3">
        <f t="shared" si="118"/>
        <v>-0.1599481395834662</v>
      </c>
      <c r="G163" s="3">
        <f t="shared" si="118"/>
        <v>-2.200965961694373</v>
      </c>
      <c r="H163" s="3">
        <f t="shared" si="118"/>
        <v>-3.9077559567133777</v>
      </c>
      <c r="I163" s="3">
        <f t="shared" si="118"/>
        <v>-5.209824404530973</v>
      </c>
      <c r="J163" s="3">
        <f t="shared" si="118"/>
        <v>-6.085246525676573</v>
      </c>
      <c r="K163" s="3">
        <f t="shared" si="118"/>
        <v>-6.54373109038681</v>
      </c>
      <c r="L163" s="3">
        <f t="shared" si="118"/>
        <v>-6.614150951495301</v>
      </c>
      <c r="M163" s="3">
        <f t="shared" si="118"/>
        <v>-6.335638826428138</v>
      </c>
      <c r="N163" s="3">
        <f t="shared" si="118"/>
        <v>-5.750969412425553</v>
      </c>
      <c r="O163" s="3">
        <f t="shared" si="118"/>
        <v>-4.901563151036658</v>
      </c>
      <c r="P163" s="3">
        <f t="shared" si="118"/>
        <v>-3.8241153798594105</v>
      </c>
      <c r="Q163" s="3">
        <f t="shared" si="118"/>
        <v>-2.549333443995219</v>
      </c>
      <c r="R163" s="3">
        <f t="shared" si="118"/>
        <v>-1.103601823674546</v>
      </c>
      <c r="S163" s="3">
        <f t="shared" si="118"/>
        <v>0.485344021611464</v>
      </c>
      <c r="T163" s="3">
        <f t="shared" si="118"/>
        <v>2.1776325124538194</v>
      </c>
      <c r="U163" s="3">
        <f t="shared" si="118"/>
        <v>3.9051508051975574</v>
      </c>
      <c r="V163" s="3">
        <f t="shared" si="118"/>
        <v>5.553057322596139</v>
      </c>
      <c r="W163" s="3">
        <f t="shared" si="118"/>
        <v>6.948373437116882</v>
      </c>
      <c r="X163" s="3">
        <f t="shared" si="118"/>
        <v>7.872620834172432</v>
      </c>
      <c r="Y163" s="3">
        <f t="shared" si="118"/>
        <v>8.113726427553257</v>
      </c>
      <c r="Z163" s="3">
        <f t="shared" si="118"/>
        <v>7.548627535013763</v>
      </c>
    </row>
    <row r="164" ht="12.75">
      <c r="A164" s="29" t="s">
        <v>129</v>
      </c>
    </row>
    <row r="165" spans="1:26" ht="12.75">
      <c r="A165" s="8" t="s">
        <v>151</v>
      </c>
      <c r="B165" s="3">
        <f aca="true" t="shared" si="119" ref="B165:Z165">B159*(B153-$B$11)/(B139-$B$11)</f>
        <v>0</v>
      </c>
      <c r="C165" s="3">
        <f t="shared" si="119"/>
        <v>0.0010066146824601195</v>
      </c>
      <c r="D165" s="3">
        <f t="shared" si="119"/>
        <v>-0.00048037619030219856</v>
      </c>
      <c r="E165" s="3">
        <f t="shared" si="119"/>
        <v>-0.0025137321191175403</v>
      </c>
      <c r="F165" s="3">
        <f t="shared" si="119"/>
        <v>-0.0030855278968074445</v>
      </c>
      <c r="G165" s="3">
        <f t="shared" si="119"/>
        <v>-0.0019202967772469427</v>
      </c>
      <c r="H165" s="3">
        <f t="shared" si="119"/>
        <v>-0.0001894099090358937</v>
      </c>
      <c r="I165" s="3">
        <f t="shared" si="119"/>
        <v>0.0007640308232489871</v>
      </c>
      <c r="J165" s="3">
        <f t="shared" si="119"/>
        <v>0.0003505878771709209</v>
      </c>
      <c r="K165" s="3">
        <f t="shared" si="119"/>
        <v>-0.0010927032087994955</v>
      </c>
      <c r="L165" s="3">
        <f t="shared" si="119"/>
        <v>-0.0026388112366800636</v>
      </c>
      <c r="M165" s="3">
        <f t="shared" si="119"/>
        <v>-0.003259883153687296</v>
      </c>
      <c r="N165" s="3">
        <f t="shared" si="119"/>
        <v>-0.0022357894373091053</v>
      </c>
      <c r="O165" s="3">
        <f t="shared" si="119"/>
        <v>0.000610515772736089</v>
      </c>
      <c r="P165" s="3">
        <f t="shared" si="119"/>
        <v>0.004852412885222765</v>
      </c>
      <c r="Q165" s="3">
        <f t="shared" si="119"/>
        <v>0.009537131435324317</v>
      </c>
      <c r="R165" s="3">
        <f t="shared" si="119"/>
        <v>0.01337012067823881</v>
      </c>
      <c r="S165" s="3">
        <f t="shared" si="119"/>
        <v>0.015009930806114097</v>
      </c>
      <c r="T165" s="3">
        <f t="shared" si="119"/>
        <v>0.01350706252430873</v>
      </c>
      <c r="U165" s="3">
        <f t="shared" si="119"/>
        <v>0.008872229194214966</v>
      </c>
      <c r="V165" s="3">
        <f t="shared" si="119"/>
        <v>0.0025435282811421813</v>
      </c>
      <c r="W165" s="3">
        <f t="shared" si="119"/>
        <v>-0.0028133552817651876</v>
      </c>
      <c r="X165" s="3">
        <f t="shared" si="119"/>
        <v>-0.004715284260799103</v>
      </c>
      <c r="Y165" s="3">
        <f t="shared" si="119"/>
        <v>-0.002921997056829377</v>
      </c>
      <c r="Z165" s="3">
        <f t="shared" si="119"/>
        <v>0</v>
      </c>
    </row>
    <row r="166" spans="1:26" s="26" customFormat="1" ht="12.75">
      <c r="A166" s="12" t="s">
        <v>152</v>
      </c>
      <c r="B166" s="26">
        <f aca="true" t="shared" si="120" ref="B166:Z166">B160*(B152-$B$10)/(B138-$B$10)+$L$5*$J$10*(B152-$B$10)/(B138-$B$10)</f>
        <v>15.223141940873262</v>
      </c>
      <c r="C166" s="26">
        <f t="shared" si="120"/>
        <v>16.529925511168372</v>
      </c>
      <c r="D166" s="26">
        <f t="shared" si="120"/>
        <v>17.820448504504082</v>
      </c>
      <c r="E166" s="26">
        <f t="shared" si="120"/>
        <v>18.82791303823224</v>
      </c>
      <c r="F166" s="26">
        <f t="shared" si="120"/>
        <v>19.27052693388655</v>
      </c>
      <c r="G166" s="26">
        <f t="shared" si="120"/>
        <v>19.030455036458207</v>
      </c>
      <c r="H166" s="26">
        <f t="shared" si="120"/>
        <v>18.220549082539655</v>
      </c>
      <c r="I166" s="26">
        <f t="shared" si="120"/>
        <v>17.081150257891448</v>
      </c>
      <c r="J166" s="26">
        <f t="shared" si="120"/>
        <v>15.840970275450696</v>
      </c>
      <c r="K166" s="26">
        <f t="shared" si="120"/>
        <v>14.651758597596693</v>
      </c>
      <c r="L166" s="26">
        <f t="shared" si="120"/>
        <v>13.59091090252343</v>
      </c>
      <c r="M166" s="26">
        <f t="shared" si="120"/>
        <v>12.687671151063789</v>
      </c>
      <c r="N166" s="26">
        <f t="shared" si="120"/>
        <v>11.946853333960517</v>
      </c>
      <c r="O166" s="26">
        <f t="shared" si="120"/>
        <v>11.363836276492249</v>
      </c>
      <c r="P166" s="26">
        <f t="shared" si="120"/>
        <v>10.932496505536305</v>
      </c>
      <c r="Q166" s="26">
        <f t="shared" si="120"/>
        <v>10.648881008891193</v>
      </c>
      <c r="R166" s="26">
        <f t="shared" si="120"/>
        <v>10.51257486054281</v>
      </c>
      <c r="S166" s="26">
        <f t="shared" si="120"/>
        <v>10.52674121069155</v>
      </c>
      <c r="T166" s="26">
        <f t="shared" si="120"/>
        <v>10.69713886410226</v>
      </c>
      <c r="U166" s="26">
        <f t="shared" si="120"/>
        <v>11.030172981160666</v>
      </c>
      <c r="V166" s="26">
        <f t="shared" si="120"/>
        <v>11.530419087402903</v>
      </c>
      <c r="W166" s="26">
        <f t="shared" si="120"/>
        <v>12.19919104031432</v>
      </c>
      <c r="X166" s="26">
        <f t="shared" si="120"/>
        <v>13.036447766511918</v>
      </c>
      <c r="Y166" s="26">
        <f t="shared" si="120"/>
        <v>14.044782668295666</v>
      </c>
      <c r="Z166" s="26">
        <f t="shared" si="120"/>
        <v>15.223141940873262</v>
      </c>
    </row>
    <row r="167" spans="1:26" ht="12.75">
      <c r="A167" s="8" t="s">
        <v>118</v>
      </c>
      <c r="B167" s="3">
        <f aca="true" t="shared" si="121" ref="B167:Z167">B161</f>
        <v>0.07275737211145374</v>
      </c>
      <c r="C167" s="3">
        <f t="shared" si="121"/>
        <v>0.12462326500701663</v>
      </c>
      <c r="D167" s="3">
        <f t="shared" si="121"/>
        <v>0.1583778395201382</v>
      </c>
      <c r="E167" s="3">
        <f t="shared" si="121"/>
        <v>0.17037261491309214</v>
      </c>
      <c r="F167" s="3">
        <f t="shared" si="121"/>
        <v>0.16299471707577687</v>
      </c>
      <c r="G167" s="3">
        <f t="shared" si="121"/>
        <v>0.14189006554508607</v>
      </c>
      <c r="H167" s="3">
        <f t="shared" si="121"/>
        <v>0.11305768066907156</v>
      </c>
      <c r="I167" s="3">
        <f t="shared" si="121"/>
        <v>0.08124093395311126</v>
      </c>
      <c r="J167" s="3">
        <f t="shared" si="121"/>
        <v>0.049555613360596336</v>
      </c>
      <c r="K167" s="3">
        <f t="shared" si="121"/>
        <v>0.01975239223388861</v>
      </c>
      <c r="L167" s="3">
        <f t="shared" si="121"/>
        <v>-0.007364611131145289</v>
      </c>
      <c r="M167" s="3">
        <f t="shared" si="121"/>
        <v>-0.03158073682254155</v>
      </c>
      <c r="N167" s="3">
        <f t="shared" si="121"/>
        <v>-0.053020269224059356</v>
      </c>
      <c r="O167" s="3">
        <f t="shared" si="121"/>
        <v>-0.0719740260582057</v>
      </c>
      <c r="P167" s="3">
        <f t="shared" si="121"/>
        <v>-0.08875789289416772</v>
      </c>
      <c r="Q167" s="3">
        <f t="shared" si="121"/>
        <v>-0.10355776915141561</v>
      </c>
      <c r="R167" s="3">
        <f t="shared" si="121"/>
        <v>-0.1162258347611402</v>
      </c>
      <c r="S167" s="3">
        <f t="shared" si="121"/>
        <v>-0.1260110196663378</v>
      </c>
      <c r="T167" s="3">
        <f t="shared" si="121"/>
        <v>-0.13125094627938003</v>
      </c>
      <c r="U167" s="3">
        <f t="shared" si="121"/>
        <v>-0.12915525557130866</v>
      </c>
      <c r="V167" s="3">
        <f t="shared" si="121"/>
        <v>-0.11598749160193679</v>
      </c>
      <c r="W167" s="3">
        <f t="shared" si="121"/>
        <v>-0.08810832363107382</v>
      </c>
      <c r="X167" s="3">
        <f t="shared" si="121"/>
        <v>-0.044136174367515726</v>
      </c>
      <c r="Y167" s="3">
        <f t="shared" si="121"/>
        <v>0.01250785677099683</v>
      </c>
      <c r="Z167" s="3">
        <f t="shared" si="121"/>
        <v>0.07275737211145372</v>
      </c>
    </row>
    <row r="168" spans="1:26" ht="12.75">
      <c r="A168" s="8" t="s">
        <v>119</v>
      </c>
      <c r="B168" s="3">
        <f aca="true" t="shared" si="122" ref="B168:Z168">B162+B163</f>
        <v>7.2577572144174765</v>
      </c>
      <c r="C168" s="3">
        <f t="shared" si="122"/>
        <v>5.801047268688465</v>
      </c>
      <c r="D168" s="3">
        <f t="shared" si="122"/>
        <v>3.9329781704241724</v>
      </c>
      <c r="E168" s="3">
        <f t="shared" si="122"/>
        <v>1.8891846116409787</v>
      </c>
      <c r="F168" s="3">
        <f t="shared" si="122"/>
        <v>-0.14609184305924058</v>
      </c>
      <c r="G168" s="3">
        <f t="shared" si="122"/>
        <v>-2.0350680104293652</v>
      </c>
      <c r="H168" s="3">
        <f t="shared" si="122"/>
        <v>-3.673322574235981</v>
      </c>
      <c r="I168" s="3">
        <f t="shared" si="122"/>
        <v>-4.985501366860778</v>
      </c>
      <c r="J168" s="3">
        <f t="shared" si="122"/>
        <v>-5.925532086716398</v>
      </c>
      <c r="K168" s="3">
        <f t="shared" si="122"/>
        <v>-6.475258390331075</v>
      </c>
      <c r="L168" s="3">
        <f t="shared" si="122"/>
        <v>-6.639990841907897</v>
      </c>
      <c r="M168" s="3">
        <f t="shared" si="122"/>
        <v>-6.442042615975893</v>
      </c>
      <c r="N168" s="3">
        <f t="shared" si="122"/>
        <v>-5.913666688050342</v>
      </c>
      <c r="O168" s="3">
        <f t="shared" si="122"/>
        <v>-5.090515816851905</v>
      </c>
      <c r="P168" s="3">
        <f t="shared" si="122"/>
        <v>-4.006584347455306</v>
      </c>
      <c r="Q168" s="3">
        <f t="shared" si="122"/>
        <v>-2.6916933375440997</v>
      </c>
      <c r="R168" s="3">
        <f t="shared" si="122"/>
        <v>-1.1728988930041588</v>
      </c>
      <c r="S168" s="3">
        <f t="shared" si="122"/>
        <v>0.5183965875027192</v>
      </c>
      <c r="T168" s="3">
        <f t="shared" si="122"/>
        <v>2.331885110510489</v>
      </c>
      <c r="U168" s="3">
        <f t="shared" si="122"/>
        <v>4.17654406851142</v>
      </c>
      <c r="V168" s="3">
        <f t="shared" si="122"/>
        <v>5.898203822095049</v>
      </c>
      <c r="W168" s="3">
        <f t="shared" si="122"/>
        <v>7.274972452968321</v>
      </c>
      <c r="X168" s="3">
        <f t="shared" si="122"/>
        <v>8.057262749702751</v>
      </c>
      <c r="Y168" s="3">
        <f t="shared" si="122"/>
        <v>8.05993475596059</v>
      </c>
      <c r="Z168" s="3">
        <f t="shared" si="122"/>
        <v>7.257757214417478</v>
      </c>
    </row>
    <row r="169" spans="1:26" ht="12.75">
      <c r="A169" s="3" t="s">
        <v>145</v>
      </c>
      <c r="B169" s="3">
        <f aca="true" t="shared" si="123" ref="B169:Z169">B165*B99+B166*B100+B167*B85-B168</f>
        <v>0</v>
      </c>
      <c r="C169" s="3">
        <f t="shared" si="123"/>
        <v>0</v>
      </c>
      <c r="D169" s="3">
        <f t="shared" si="123"/>
        <v>-3.9968028886505635E-15</v>
      </c>
      <c r="E169" s="3">
        <f t="shared" si="123"/>
        <v>0</v>
      </c>
      <c r="F169" s="3">
        <f t="shared" si="123"/>
        <v>1.0824674490095276E-15</v>
      </c>
      <c r="G169" s="3">
        <f t="shared" si="123"/>
        <v>0</v>
      </c>
      <c r="H169" s="3">
        <f t="shared" si="123"/>
        <v>0</v>
      </c>
      <c r="I169" s="3">
        <f t="shared" si="123"/>
        <v>0</v>
      </c>
      <c r="J169" s="3">
        <f t="shared" si="123"/>
        <v>0</v>
      </c>
      <c r="K169" s="3">
        <f t="shared" si="123"/>
        <v>0</v>
      </c>
      <c r="L169" s="3">
        <f t="shared" si="123"/>
        <v>0</v>
      </c>
      <c r="M169" s="3">
        <f t="shared" si="123"/>
        <v>0</v>
      </c>
      <c r="N169" s="3">
        <f t="shared" si="123"/>
        <v>0</v>
      </c>
      <c r="O169" s="3">
        <f t="shared" si="123"/>
        <v>0</v>
      </c>
      <c r="P169" s="3">
        <f t="shared" si="123"/>
        <v>0</v>
      </c>
      <c r="Q169" s="3">
        <f t="shared" si="123"/>
        <v>0</v>
      </c>
      <c r="R169" s="3">
        <f t="shared" si="123"/>
        <v>-3.1086244689504383E-15</v>
      </c>
      <c r="S169" s="3">
        <f t="shared" si="123"/>
        <v>8.43769498715119E-15</v>
      </c>
      <c r="T169" s="3">
        <f t="shared" si="123"/>
        <v>0</v>
      </c>
      <c r="U169" s="3">
        <f t="shared" si="123"/>
        <v>0</v>
      </c>
      <c r="V169" s="3">
        <f t="shared" si="123"/>
        <v>0</v>
      </c>
      <c r="W169" s="3">
        <f t="shared" si="123"/>
        <v>0</v>
      </c>
      <c r="X169" s="3">
        <f t="shared" si="123"/>
        <v>0</v>
      </c>
      <c r="Y169" s="3">
        <f t="shared" si="123"/>
        <v>0</v>
      </c>
      <c r="Z169" s="3">
        <f t="shared" si="123"/>
        <v>0</v>
      </c>
    </row>
    <row r="172" ht="12.75">
      <c r="A172" s="3" t="s">
        <v>114</v>
      </c>
    </row>
    <row r="173" spans="1:26" ht="12.75">
      <c r="A173" s="8" t="s">
        <v>115</v>
      </c>
      <c r="B173" s="3">
        <f aca="true" t="shared" si="124" ref="B173:Z173">B50+B51+B128+B129+B162+B163</f>
        <v>20.55952985665119</v>
      </c>
      <c r="C173" s="3">
        <f t="shared" si="124"/>
        <v>18.50240720065377</v>
      </c>
      <c r="D173" s="3">
        <f t="shared" si="124"/>
        <v>15.201133157025177</v>
      </c>
      <c r="E173" s="3">
        <f t="shared" si="124"/>
        <v>10.925025022691916</v>
      </c>
      <c r="F173" s="3">
        <f t="shared" si="124"/>
        <v>5.972875256187549</v>
      </c>
      <c r="G173" s="3">
        <f t="shared" si="124"/>
        <v>0.6817021239623622</v>
      </c>
      <c r="H173" s="3">
        <f t="shared" si="124"/>
        <v>-4.58759309790039</v>
      </c>
      <c r="I173" s="3">
        <f t="shared" si="124"/>
        <v>-9.483398165756356</v>
      </c>
      <c r="J173" s="3">
        <f t="shared" si="124"/>
        <v>-13.69451413957311</v>
      </c>
      <c r="K173" s="3">
        <f t="shared" si="124"/>
        <v>-16.969057532501836</v>
      </c>
      <c r="L173" s="3">
        <f t="shared" si="124"/>
        <v>-19.122661542401346</v>
      </c>
      <c r="M173" s="3">
        <f t="shared" si="124"/>
        <v>-20.040921043591645</v>
      </c>
      <c r="N173" s="3">
        <f t="shared" si="124"/>
        <v>-19.679505359180027</v>
      </c>
      <c r="O173" s="3">
        <f t="shared" si="124"/>
        <v>-18.063035072667873</v>
      </c>
      <c r="P173" s="3">
        <f t="shared" si="124"/>
        <v>-15.282442671372923</v>
      </c>
      <c r="Q173" s="3">
        <f t="shared" si="124"/>
        <v>-11.490385280569008</v>
      </c>
      <c r="R173" s="3">
        <f t="shared" si="124"/>
        <v>-6.895086908176423</v>
      </c>
      <c r="S173" s="3">
        <f t="shared" si="124"/>
        <v>-1.7542356303959743</v>
      </c>
      <c r="T173" s="3">
        <f t="shared" si="124"/>
        <v>3.6286978844057556</v>
      </c>
      <c r="U173" s="3">
        <f t="shared" si="124"/>
        <v>8.904871708216705</v>
      </c>
      <c r="V173" s="3">
        <f t="shared" si="124"/>
        <v>13.68247421854036</v>
      </c>
      <c r="W173" s="3">
        <f t="shared" si="124"/>
        <v>17.546779743522784</v>
      </c>
      <c r="X173" s="3">
        <f t="shared" si="124"/>
        <v>20.117650852591535</v>
      </c>
      <c r="Y173" s="3">
        <f t="shared" si="124"/>
        <v>21.140804909960657</v>
      </c>
      <c r="Z173" s="3">
        <f t="shared" si="124"/>
        <v>20.559529856651192</v>
      </c>
    </row>
    <row r="174" ht="12.75">
      <c r="A174" s="3" t="s">
        <v>116</v>
      </c>
    </row>
    <row r="175" spans="1:26" ht="12.75">
      <c r="A175" s="8" t="s">
        <v>153</v>
      </c>
      <c r="B175" s="3">
        <f aca="true" t="shared" si="125" ref="B175:Z175">B173/B20</f>
        <v>20.55952985665119</v>
      </c>
      <c r="C175" s="3">
        <f t="shared" si="125"/>
        <v>18.50240720065377</v>
      </c>
      <c r="D175" s="3">
        <f t="shared" si="125"/>
        <v>15.201133157025177</v>
      </c>
      <c r="E175" s="3">
        <f t="shared" si="125"/>
        <v>10.925025022691916</v>
      </c>
      <c r="F175" s="3">
        <f t="shared" si="125"/>
        <v>5.972875256187549</v>
      </c>
      <c r="G175" s="3">
        <f t="shared" si="125"/>
        <v>0.6817021239623622</v>
      </c>
      <c r="H175" s="3">
        <f t="shared" si="125"/>
        <v>-4.58759309790039</v>
      </c>
      <c r="I175" s="3">
        <f t="shared" si="125"/>
        <v>-9.483398165756356</v>
      </c>
      <c r="J175" s="3">
        <f t="shared" si="125"/>
        <v>-13.69451413957311</v>
      </c>
      <c r="K175" s="3">
        <f t="shared" si="125"/>
        <v>-16.969057532501836</v>
      </c>
      <c r="L175" s="3">
        <f t="shared" si="125"/>
        <v>-19.122661542401346</v>
      </c>
      <c r="M175" s="3">
        <f t="shared" si="125"/>
        <v>-20.040921043591645</v>
      </c>
      <c r="N175" s="3">
        <f t="shared" si="125"/>
        <v>-19.679505359180027</v>
      </c>
      <c r="O175" s="3">
        <f t="shared" si="125"/>
        <v>-18.063035072667873</v>
      </c>
      <c r="P175" s="3">
        <f t="shared" si="125"/>
        <v>-15.282442671372923</v>
      </c>
      <c r="Q175" s="3">
        <f t="shared" si="125"/>
        <v>-11.490385280569008</v>
      </c>
      <c r="R175" s="3">
        <f t="shared" si="125"/>
        <v>-6.895086908176423</v>
      </c>
      <c r="S175" s="3">
        <f t="shared" si="125"/>
        <v>-1.7542356303959743</v>
      </c>
      <c r="T175" s="3">
        <f t="shared" si="125"/>
        <v>3.6286978844057556</v>
      </c>
      <c r="U175" s="3">
        <f t="shared" si="125"/>
        <v>8.904871708216705</v>
      </c>
      <c r="V175" s="3">
        <f t="shared" si="125"/>
        <v>13.68247421854036</v>
      </c>
      <c r="W175" s="3">
        <f t="shared" si="125"/>
        <v>17.546779743522784</v>
      </c>
      <c r="X175" s="3">
        <f t="shared" si="125"/>
        <v>20.117650852591535</v>
      </c>
      <c r="Y175" s="3">
        <f t="shared" si="125"/>
        <v>21.140804909960657</v>
      </c>
      <c r="Z175" s="3">
        <f t="shared" si="125"/>
        <v>20.559529856651192</v>
      </c>
    </row>
    <row r="176" ht="12.75">
      <c r="A176" s="8"/>
    </row>
    <row r="177" spans="1:7" ht="12.75">
      <c r="A177" s="36"/>
      <c r="B177" s="37"/>
      <c r="C177" s="37"/>
      <c r="E177" s="38"/>
      <c r="F177" s="38"/>
      <c r="G177" s="38"/>
    </row>
    <row r="178" ht="12.75">
      <c r="A178" s="20"/>
    </row>
    <row r="179" ht="12.75">
      <c r="A179" s="21"/>
    </row>
    <row r="180" ht="12.75">
      <c r="A180" s="21"/>
    </row>
    <row r="181" ht="12.75">
      <c r="A181" s="20"/>
    </row>
    <row r="182" ht="12.75">
      <c r="A182" s="21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spans="1:26" ht="12.75" customHeight="1">
      <c r="A199" s="2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13" spans="1:6" ht="12.75">
      <c r="A213" s="24"/>
      <c r="B213" s="24"/>
      <c r="C213" s="24"/>
      <c r="D213" s="24"/>
      <c r="F213" s="24"/>
    </row>
    <row r="214" ht="14.25" customHeight="1"/>
  </sheetData>
  <mergeCells count="11">
    <mergeCell ref="A177:C177"/>
    <mergeCell ref="E177:G177"/>
    <mergeCell ref="A96:B96"/>
    <mergeCell ref="A117:B117"/>
    <mergeCell ref="A137:B137"/>
    <mergeCell ref="A151:B151"/>
    <mergeCell ref="A109:B109"/>
    <mergeCell ref="B1:C1"/>
    <mergeCell ref="H1:I1"/>
    <mergeCell ref="A25:C25"/>
    <mergeCell ref="A58:C5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2:F31"/>
  <sheetViews>
    <sheetView workbookViewId="0" topLeftCell="A1">
      <selection activeCell="L10" sqref="L10"/>
    </sheetView>
  </sheetViews>
  <sheetFormatPr defaultColWidth="9.00390625" defaultRowHeight="12.75"/>
  <sheetData>
    <row r="12" ht="18.75">
      <c r="F12" s="30"/>
    </row>
    <row r="13" ht="18.75">
      <c r="F13" s="30"/>
    </row>
    <row r="14" ht="18.75">
      <c r="F14" s="30"/>
    </row>
    <row r="15" ht="18.75">
      <c r="F15" s="30"/>
    </row>
    <row r="16" ht="18.75">
      <c r="F16" s="30"/>
    </row>
    <row r="17" ht="18.75">
      <c r="F17" s="30"/>
    </row>
    <row r="18" ht="18.75">
      <c r="F18" s="30"/>
    </row>
    <row r="19" ht="18.75">
      <c r="F19" s="30"/>
    </row>
    <row r="20" ht="18.75">
      <c r="F20" s="30"/>
    </row>
    <row r="21" ht="18.75">
      <c r="F21" s="30"/>
    </row>
    <row r="22" ht="18.75">
      <c r="F22" s="30"/>
    </row>
    <row r="23" ht="18.75">
      <c r="F23" s="30"/>
    </row>
    <row r="24" ht="18.75">
      <c r="F24" s="30"/>
    </row>
    <row r="25" ht="18.75">
      <c r="F25" s="30"/>
    </row>
    <row r="26" ht="18.75">
      <c r="F26" s="30"/>
    </row>
    <row r="27" ht="18.75">
      <c r="F27" s="30"/>
    </row>
    <row r="28" ht="18.75">
      <c r="F28" s="30"/>
    </row>
    <row r="29" ht="18.75">
      <c r="F29" s="30"/>
    </row>
    <row r="30" ht="18.75">
      <c r="F30" s="30"/>
    </row>
    <row r="31" ht="18.75">
      <c r="F31" s="3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</dc:creator>
  <cp:keywords/>
  <dc:description/>
  <cp:lastModifiedBy>Alyushin</cp:lastModifiedBy>
  <dcterms:created xsi:type="dcterms:W3CDTF">2005-05-14T19:56:34Z</dcterms:created>
  <dcterms:modified xsi:type="dcterms:W3CDTF">2005-10-29T07:17:53Z</dcterms:modified>
  <cp:category/>
  <cp:version/>
  <cp:contentType/>
  <cp:contentStatus/>
</cp:coreProperties>
</file>